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14805" windowHeight="777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07" i="63" l="1"/>
  <c r="G103" i="63"/>
  <c r="K138" i="63"/>
  <c r="K153" i="63"/>
  <c r="P29" i="18"/>
  <c r="N29" i="18" s="1"/>
  <c r="K151" i="18"/>
  <c r="R155" i="18" l="1"/>
  <c r="P23" i="18"/>
  <c r="N23" i="18" s="1"/>
  <c r="N47" i="18"/>
  <c r="F153" i="63"/>
  <c r="C153" i="63"/>
  <c r="H153" i="63" s="1"/>
  <c r="G148" i="63"/>
  <c r="H148" i="63"/>
  <c r="K149" i="63" s="1"/>
  <c r="I148" i="63"/>
  <c r="G149" i="63"/>
  <c r="H149" i="63"/>
  <c r="I149" i="63"/>
  <c r="G150" i="63"/>
  <c r="H150" i="63"/>
  <c r="K150" i="63" s="1"/>
  <c r="I150" i="63"/>
  <c r="G151" i="63"/>
  <c r="H151" i="63"/>
  <c r="I151" i="63"/>
  <c r="G152" i="63"/>
  <c r="H152" i="63"/>
  <c r="I152" i="63"/>
  <c r="K151" i="63"/>
  <c r="K152" i="63"/>
  <c r="I147" i="63"/>
  <c r="H147" i="63"/>
  <c r="G147" i="63"/>
  <c r="K148" i="63" l="1"/>
  <c r="I153" i="63"/>
  <c r="G153" i="63"/>
  <c r="L153" i="63"/>
  <c r="G132" i="63"/>
  <c r="H132" i="63"/>
  <c r="I132" i="63"/>
  <c r="K132" i="63"/>
  <c r="G133" i="63"/>
  <c r="H133" i="63"/>
  <c r="K133" i="63" s="1"/>
  <c r="I133" i="63"/>
  <c r="G134" i="63"/>
  <c r="H134" i="63"/>
  <c r="I134" i="63"/>
  <c r="G135" i="63"/>
  <c r="H135" i="63"/>
  <c r="I135" i="63"/>
  <c r="K135" i="63"/>
  <c r="G136" i="63"/>
  <c r="H136" i="63"/>
  <c r="I136" i="63"/>
  <c r="K136" i="63"/>
  <c r="J44" i="18"/>
  <c r="K134" i="63" l="1"/>
  <c r="G87" i="63"/>
  <c r="H87" i="63"/>
  <c r="I87" i="63"/>
  <c r="G88" i="63"/>
  <c r="H88" i="63"/>
  <c r="I88" i="63"/>
  <c r="G89" i="63"/>
  <c r="H89" i="63"/>
  <c r="I89" i="63"/>
  <c r="G90" i="63"/>
  <c r="H90" i="63"/>
  <c r="I90" i="63"/>
  <c r="G91" i="63"/>
  <c r="H91" i="63"/>
  <c r="I91" i="63"/>
  <c r="G92" i="63"/>
  <c r="H92" i="63"/>
  <c r="I92" i="63"/>
  <c r="F93" i="63"/>
  <c r="C93" i="63"/>
  <c r="G93" i="63" l="1"/>
  <c r="H93" i="63"/>
  <c r="K93" i="63" s="1"/>
  <c r="L93" i="63" s="1"/>
  <c r="I93" i="63"/>
  <c r="Q390" i="52"/>
  <c r="O390" i="52"/>
  <c r="J390" i="52"/>
  <c r="G131" i="63"/>
  <c r="H131" i="63"/>
  <c r="I131" i="63"/>
  <c r="H103" i="63"/>
  <c r="I103" i="63"/>
  <c r="G104" i="63"/>
  <c r="H104" i="63"/>
  <c r="I104" i="63"/>
  <c r="G105" i="63"/>
  <c r="H105" i="63"/>
  <c r="I105" i="63"/>
  <c r="G106" i="63"/>
  <c r="H106" i="63"/>
  <c r="I106" i="63"/>
  <c r="H130" i="63"/>
  <c r="I130" i="63"/>
  <c r="H102" i="63"/>
  <c r="I102" i="63"/>
  <c r="G101" i="63"/>
  <c r="W369" i="18"/>
  <c r="K103" i="63" l="1"/>
  <c r="K104" i="63"/>
  <c r="K105" i="63"/>
  <c r="K106" i="63"/>
  <c r="K131" i="63"/>
  <c r="W368" i="18"/>
  <c r="W367" i="18"/>
  <c r="AJ250" i="18"/>
  <c r="G129" i="63"/>
  <c r="G130" i="63"/>
  <c r="H129" i="63"/>
  <c r="K130" i="63" s="1"/>
  <c r="I129" i="63"/>
  <c r="G102" i="63"/>
  <c r="H101" i="63"/>
  <c r="I101" i="63"/>
  <c r="K102" i="63" l="1"/>
  <c r="H128" i="63"/>
  <c r="K129" i="63" s="1"/>
  <c r="I128" i="63"/>
  <c r="G128" i="63"/>
  <c r="H100" i="63"/>
  <c r="I100" i="63"/>
  <c r="G100" i="63"/>
  <c r="K101" i="63" l="1"/>
  <c r="R408" i="18"/>
  <c r="W366" i="18"/>
  <c r="S98" i="18"/>
  <c r="G99" i="63"/>
  <c r="G127" i="63"/>
  <c r="H127" i="63"/>
  <c r="K128" i="63" s="1"/>
  <c r="I127" i="63"/>
  <c r="W365" i="18" l="1"/>
  <c r="H98" i="63" l="1"/>
  <c r="G98" i="63" l="1"/>
  <c r="I98" i="63"/>
  <c r="H99" i="63"/>
  <c r="K100" i="63" s="1"/>
  <c r="I99" i="63"/>
  <c r="K99" i="63" l="1"/>
  <c r="S227" i="18"/>
  <c r="W385" i="18"/>
  <c r="G54" i="10"/>
  <c r="G55" i="10"/>
  <c r="G56" i="10"/>
  <c r="G57" i="10"/>
  <c r="G58" i="10"/>
  <c r="G59" i="10"/>
  <c r="G60" i="10"/>
  <c r="G61" i="10"/>
  <c r="G62" i="10"/>
  <c r="G63" i="10"/>
  <c r="G64" i="10"/>
  <c r="G65" i="10"/>
  <c r="G66" i="10"/>
  <c r="G67" i="10"/>
  <c r="G68" i="10"/>
  <c r="G69" i="10"/>
  <c r="G70" i="10"/>
  <c r="G71" i="10"/>
  <c r="G53" i="10"/>
  <c r="U375" i="18" l="1"/>
  <c r="W374" i="18"/>
  <c r="W373" i="18"/>
  <c r="W372" i="18"/>
  <c r="W364" i="18"/>
  <c r="W363" i="18"/>
  <c r="W362" i="18"/>
  <c r="W361" i="18"/>
  <c r="W360" i="18"/>
  <c r="W359" i="18"/>
  <c r="AL232" i="18" l="1"/>
  <c r="AM232" i="18" s="1"/>
  <c r="AL233" i="18"/>
  <c r="AM233" i="18" s="1"/>
  <c r="AL234" i="18"/>
  <c r="AM234" i="18" s="1"/>
  <c r="AL235" i="18"/>
  <c r="AM235" i="18" s="1"/>
  <c r="AL236" i="18"/>
  <c r="AM236" i="18" s="1"/>
  <c r="AL247" i="18"/>
  <c r="AM247" i="18" s="1"/>
  <c r="AL248" i="18"/>
  <c r="AM248" i="18" s="1"/>
  <c r="AL249" i="18"/>
  <c r="AM249" i="18" s="1"/>
  <c r="E9" i="60" l="1"/>
  <c r="C9" i="60"/>
  <c r="O374" i="52" l="1"/>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O416" i="52"/>
  <c r="O417" i="52"/>
  <c r="O418" i="52"/>
  <c r="O419" i="52"/>
  <c r="N376" i="52"/>
  <c r="N377" i="52"/>
  <c r="N378" i="52"/>
  <c r="N379" i="52"/>
  <c r="N380" i="52"/>
  <c r="N381" i="52"/>
  <c r="N382" i="52"/>
  <c r="N383" i="52"/>
  <c r="N384" i="52"/>
  <c r="N385" i="52"/>
  <c r="N386" i="52"/>
  <c r="N387" i="52"/>
  <c r="N388" i="52"/>
  <c r="N389" i="52"/>
  <c r="N390" i="52"/>
  <c r="N391" i="52"/>
  <c r="N392" i="52"/>
  <c r="N393" i="52"/>
  <c r="N394" i="52"/>
  <c r="N395" i="52"/>
  <c r="N396" i="52"/>
  <c r="P396" i="52" s="1"/>
  <c r="N397" i="52"/>
  <c r="P397" i="52" s="1"/>
  <c r="N398" i="52"/>
  <c r="P398" i="52" s="1"/>
  <c r="N399" i="52"/>
  <c r="P399" i="52" s="1"/>
  <c r="N400" i="52"/>
  <c r="P400" i="52" s="1"/>
  <c r="N401" i="52"/>
  <c r="P401" i="52" s="1"/>
  <c r="N402" i="52"/>
  <c r="P402" i="52" s="1"/>
  <c r="N403" i="52"/>
  <c r="P403" i="52" s="1"/>
  <c r="N404" i="52"/>
  <c r="P404" i="52" s="1"/>
  <c r="N405" i="52"/>
  <c r="P405" i="52" s="1"/>
  <c r="N406" i="52"/>
  <c r="P406" i="52" s="1"/>
  <c r="N407" i="52"/>
  <c r="P407" i="52" s="1"/>
  <c r="N408" i="52"/>
  <c r="P408" i="52" s="1"/>
  <c r="N409" i="52"/>
  <c r="P409" i="52" s="1"/>
  <c r="N410" i="52"/>
  <c r="P410" i="52" s="1"/>
  <c r="N411" i="52"/>
  <c r="P411" i="52" s="1"/>
  <c r="N412" i="52"/>
  <c r="P412" i="52" s="1"/>
  <c r="N413" i="52"/>
  <c r="P413" i="52" s="1"/>
  <c r="N414" i="52"/>
  <c r="P414" i="52" s="1"/>
  <c r="N415" i="52"/>
  <c r="P415" i="52" s="1"/>
  <c r="N416" i="52"/>
  <c r="P416" i="52" s="1"/>
  <c r="N417" i="52"/>
  <c r="P417" i="52" s="1"/>
  <c r="N418" i="52"/>
  <c r="P418" i="52" s="1"/>
  <c r="N419" i="52"/>
  <c r="P419" i="52" s="1"/>
  <c r="N420" i="52"/>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395" i="52" l="1"/>
  <c r="P394" i="52"/>
  <c r="P393" i="52"/>
  <c r="P392" i="52"/>
  <c r="P383" i="52"/>
  <c r="P391" i="52"/>
  <c r="P390" i="52"/>
  <c r="P389" i="52"/>
  <c r="P388" i="52"/>
  <c r="P387" i="52"/>
  <c r="P386" i="52"/>
  <c r="P385" i="52"/>
  <c r="P382" i="52"/>
  <c r="P384" i="52"/>
  <c r="P381" i="52"/>
  <c r="P380" i="52"/>
  <c r="P379" i="52"/>
  <c r="P378" i="52"/>
  <c r="P377" i="52"/>
  <c r="H125" i="63"/>
  <c r="H250" i="18" l="1"/>
  <c r="W353" i="18"/>
  <c r="W354" i="18"/>
  <c r="W355" i="18"/>
  <c r="W356" i="18"/>
  <c r="W357" i="18"/>
  <c r="W358" i="18"/>
  <c r="G125" i="63"/>
  <c r="I125" i="63"/>
  <c r="G126" i="63"/>
  <c r="H126" i="63"/>
  <c r="I126" i="63"/>
  <c r="R175" i="18"/>
  <c r="L52" i="18"/>
  <c r="K126" i="63" l="1"/>
  <c r="K127" i="63"/>
  <c r="W352" i="18"/>
  <c r="G97" i="63"/>
  <c r="H97" i="63"/>
  <c r="K98" i="63" s="1"/>
  <c r="I97" i="63"/>
  <c r="W351" i="18" l="1"/>
  <c r="G96" i="63"/>
  <c r="H96" i="63"/>
  <c r="K97" i="63" s="1"/>
  <c r="I96" i="63"/>
  <c r="W350" i="18" l="1"/>
  <c r="I95" i="63"/>
  <c r="H95" i="63"/>
  <c r="K96" i="63" s="1"/>
  <c r="G95" i="63"/>
  <c r="L121"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J419" i="52"/>
  <c r="W349" i="18"/>
  <c r="P375" i="52" l="1"/>
  <c r="P376" i="52"/>
  <c r="P368" i="52"/>
  <c r="P373" i="52"/>
  <c r="P372" i="52"/>
  <c r="P371" i="52"/>
  <c r="P370" i="52"/>
  <c r="P369" i="52"/>
  <c r="W348" i="18"/>
  <c r="G124" i="63" l="1"/>
  <c r="H124" i="63"/>
  <c r="K125" i="63" s="1"/>
  <c r="I124" i="63"/>
  <c r="G123" i="63"/>
  <c r="H123" i="63"/>
  <c r="I123" i="63"/>
  <c r="K124" i="63" l="1"/>
  <c r="W347" i="18"/>
  <c r="AL441" i="18"/>
  <c r="AM441" i="18" s="1"/>
  <c r="AL440" i="18" l="1"/>
  <c r="AL439" i="18" l="1"/>
  <c r="AM440" i="18"/>
  <c r="W346" i="18"/>
  <c r="AM439" i="18" l="1"/>
  <c r="AL438" i="18"/>
  <c r="O362" i="52"/>
  <c r="J362" i="52"/>
  <c r="AL437" i="18" l="1"/>
  <c r="AM438" i="18"/>
  <c r="AM437" i="18" l="1"/>
  <c r="AL436" i="18"/>
  <c r="AL435" i="18" l="1"/>
  <c r="AM436" i="18"/>
  <c r="M191" i="18"/>
  <c r="L191" i="18"/>
  <c r="AM435" i="18" l="1"/>
  <c r="AL434" i="18"/>
  <c r="M359" i="52"/>
  <c r="M360" i="52" s="1"/>
  <c r="W345" i="18"/>
  <c r="AL433" i="18" l="1"/>
  <c r="AM434" i="18"/>
  <c r="W344" i="18"/>
  <c r="AM433" i="18" l="1"/>
  <c r="AL432" i="18"/>
  <c r="W343" i="18"/>
  <c r="AL431" i="18" l="1"/>
  <c r="AM432" i="18"/>
  <c r="M190" i="18"/>
  <c r="L190" i="18"/>
  <c r="W342" i="18"/>
  <c r="AM431" i="18" l="1"/>
  <c r="AL430" i="18"/>
  <c r="W341" i="18"/>
  <c r="AL429" i="18" l="1"/>
  <c r="AM430" i="18"/>
  <c r="W340" i="18"/>
  <c r="AM429" i="18" l="1"/>
  <c r="AL428" i="18"/>
  <c r="D157" i="58"/>
  <c r="AL427" i="18" l="1"/>
  <c r="AM428" i="18"/>
  <c r="M189" i="18"/>
  <c r="L189" i="18"/>
  <c r="I172" i="18"/>
  <c r="J172" i="18" s="1"/>
  <c r="J177" i="18" s="1"/>
  <c r="G172" i="18"/>
  <c r="AM427" i="18" l="1"/>
  <c r="AL426" i="18"/>
  <c r="M188" i="18"/>
  <c r="L188" i="18"/>
  <c r="F107" i="63"/>
  <c r="C107" i="63"/>
  <c r="G107" i="63" l="1"/>
  <c r="H107" i="63"/>
  <c r="AL425" i="18"/>
  <c r="AM426" i="18"/>
  <c r="I107" i="63"/>
  <c r="L185" i="18"/>
  <c r="M185" i="18"/>
  <c r="L186" i="18"/>
  <c r="M186" i="18"/>
  <c r="L187" i="18"/>
  <c r="M187" i="18"/>
  <c r="L194" i="18"/>
  <c r="M194" i="18"/>
  <c r="N51" i="18"/>
  <c r="P44" i="18"/>
  <c r="L107" i="63" l="1"/>
  <c r="AM425" i="18"/>
  <c r="AL424" i="18"/>
  <c r="O348" i="52"/>
  <c r="G139" i="18"/>
  <c r="J139" i="18" s="1"/>
  <c r="W339" i="18"/>
  <c r="AL423" i="18" l="1"/>
  <c r="AM424" i="18"/>
  <c r="G109" i="18"/>
  <c r="G108" i="18"/>
  <c r="P22" i="18"/>
  <c r="N22" i="18" s="1"/>
  <c r="P30" i="18"/>
  <c r="N30" i="18" s="1"/>
  <c r="N46" i="18"/>
  <c r="J132" i="18"/>
  <c r="G131" i="18"/>
  <c r="J131" i="18" s="1"/>
  <c r="W338" i="18"/>
  <c r="J347" i="52"/>
  <c r="AM423" i="18" l="1"/>
  <c r="AL422" i="18"/>
  <c r="I134" i="18"/>
  <c r="L184" i="18"/>
  <c r="M184" i="18"/>
  <c r="M183" i="18"/>
  <c r="L183" i="18"/>
  <c r="W337" i="18"/>
  <c r="AM422" i="18" l="1"/>
  <c r="AL421" i="18"/>
  <c r="F138" i="63"/>
  <c r="C138" i="63"/>
  <c r="W336" i="18"/>
  <c r="G138" i="63" l="1"/>
  <c r="AM421" i="18"/>
  <c r="AL420" i="18"/>
  <c r="I138" i="63"/>
  <c r="H138" i="63"/>
  <c r="L138" i="63" l="1"/>
  <c r="AL419" i="18"/>
  <c r="AM420" i="18"/>
  <c r="N115" i="63"/>
  <c r="AL418" i="18" l="1"/>
  <c r="AM419" i="18"/>
  <c r="W335" i="18" l="1"/>
  <c r="AL230" i="18"/>
  <c r="AM230" i="18" s="1"/>
  <c r="AL231" i="18"/>
  <c r="AM231" i="18" s="1"/>
  <c r="G121" i="63" l="1"/>
  <c r="H121" i="63"/>
  <c r="I121" i="63"/>
  <c r="G122" i="63"/>
  <c r="H122" i="63"/>
  <c r="I122" i="63"/>
  <c r="G120" i="63"/>
  <c r="H120" i="63"/>
  <c r="I120" i="63"/>
  <c r="G119" i="63"/>
  <c r="H119" i="63"/>
  <c r="I119" i="63"/>
  <c r="G118" i="63"/>
  <c r="H118" i="63"/>
  <c r="I118" i="63"/>
  <c r="G116" i="63"/>
  <c r="H116" i="63"/>
  <c r="I116" i="63"/>
  <c r="G115" i="63"/>
  <c r="H115" i="63"/>
  <c r="I115" i="63"/>
  <c r="K122" i="63" l="1"/>
  <c r="K123" i="63"/>
  <c r="M138" i="63"/>
  <c r="M139" i="63" s="1"/>
  <c r="K119" i="63"/>
  <c r="K121" i="63"/>
  <c r="K116" i="63"/>
  <c r="K120" i="63"/>
  <c r="W334" i="18"/>
  <c r="N137" i="63" l="1"/>
  <c r="N138" i="63"/>
  <c r="M140" i="63"/>
  <c r="W333" i="18"/>
  <c r="M141" i="63" l="1"/>
  <c r="N139" i="63"/>
  <c r="W332" i="18"/>
  <c r="N348" i="52"/>
  <c r="M142" i="63" l="1"/>
  <c r="N140" i="63"/>
  <c r="W331" i="18"/>
  <c r="M143" i="63" l="1"/>
  <c r="N141" i="63"/>
  <c r="N142" i="63" l="1"/>
  <c r="M144" i="63"/>
  <c r="L80" i="63"/>
  <c r="M145" i="63" l="1"/>
  <c r="N143" i="63"/>
  <c r="M146" i="63" l="1"/>
  <c r="N144" i="63"/>
  <c r="O333" i="52"/>
  <c r="M147" i="63" l="1"/>
  <c r="N145" i="63"/>
  <c r="M148" i="63" l="1"/>
  <c r="N146" i="63"/>
  <c r="J333" i="52"/>
  <c r="M149" i="63" l="1"/>
  <c r="N147" i="63"/>
  <c r="J332" i="52"/>
  <c r="M150" i="63" l="1"/>
  <c r="N148"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51" i="63"/>
  <c r="N149" i="63"/>
  <c r="P343" i="52"/>
  <c r="P341" i="52"/>
  <c r="P340" i="52"/>
  <c r="P338" i="52"/>
  <c r="P337" i="52"/>
  <c r="P349" i="52"/>
  <c r="P363" i="52"/>
  <c r="P355" i="52"/>
  <c r="P339" i="52"/>
  <c r="P332" i="52"/>
  <c r="P334" i="52"/>
  <c r="P331" i="52"/>
  <c r="J327" i="52"/>
  <c r="O327" i="52"/>
  <c r="M152" i="63" l="1"/>
  <c r="N150" i="63"/>
  <c r="M80" i="63"/>
  <c r="M153" i="63" l="1"/>
  <c r="N152" i="63" s="1"/>
  <c r="N151" i="63"/>
  <c r="C82" i="63"/>
  <c r="C81" i="63"/>
  <c r="L14" i="60"/>
  <c r="G82" i="63" l="1"/>
  <c r="H82" i="63"/>
  <c r="I82" i="63"/>
  <c r="G117" i="63"/>
  <c r="H117" i="63"/>
  <c r="I117" i="63"/>
  <c r="K117" i="63" l="1"/>
  <c r="K118" i="63"/>
  <c r="P25" i="18"/>
  <c r="N25" i="18" s="1"/>
  <c r="N48" i="18" l="1"/>
  <c r="M109" i="18" s="1"/>
  <c r="D48" i="60" l="1"/>
  <c r="F48" i="60" s="1"/>
  <c r="D47" i="60"/>
  <c r="F47" i="60" s="1"/>
  <c r="Y113" i="63" l="1"/>
  <c r="Y99" i="63"/>
  <c r="Y98" i="63"/>
  <c r="Y97" i="63"/>
  <c r="X110" i="63"/>
  <c r="Y110" i="63" s="1"/>
  <c r="I81" i="63"/>
  <c r="H81" i="63"/>
  <c r="G81" i="63"/>
  <c r="I111" i="63"/>
  <c r="H111" i="63"/>
  <c r="G111" i="63"/>
  <c r="I114" i="63"/>
  <c r="H114" i="63"/>
  <c r="G114" i="63"/>
  <c r="I112" i="63"/>
  <c r="H112" i="63"/>
  <c r="G112" i="63"/>
  <c r="I83" i="63"/>
  <c r="H83" i="63"/>
  <c r="G83" i="63"/>
  <c r="J319" i="52"/>
  <c r="I113" i="63"/>
  <c r="H113" i="63"/>
  <c r="G113" i="63"/>
  <c r="K112" i="63" l="1"/>
  <c r="K113" i="63"/>
  <c r="K114" i="63"/>
  <c r="K115" i="63"/>
  <c r="O319" i="52"/>
  <c r="AL226" i="18" l="1"/>
  <c r="AM226" i="18" s="1"/>
  <c r="AL227" i="18"/>
  <c r="AM227" i="18" s="1"/>
  <c r="AL228" i="18"/>
  <c r="AM228" i="18" s="1"/>
  <c r="AL229" i="18"/>
  <c r="AM229" i="18" s="1"/>
  <c r="G84" i="63"/>
  <c r="H84" i="63"/>
  <c r="I84" i="63"/>
  <c r="G85" i="63"/>
  <c r="H85" i="63"/>
  <c r="I85" i="63"/>
  <c r="X98" i="63" l="1"/>
  <c r="I110" i="63"/>
  <c r="G110" i="63"/>
  <c r="G109" i="63"/>
  <c r="L120" i="63" s="1"/>
  <c r="H110" i="63"/>
  <c r="K111" i="63" l="1"/>
  <c r="I109" i="63"/>
  <c r="H109" i="63"/>
  <c r="G77" i="63"/>
  <c r="G78" i="63"/>
  <c r="G79" i="63"/>
  <c r="G80" i="63"/>
  <c r="I80" i="63"/>
  <c r="H80" i="63"/>
  <c r="N50" i="18"/>
  <c r="K110" i="63" l="1"/>
  <c r="W311" i="18"/>
  <c r="G151" i="18" l="1"/>
  <c r="J151" i="18" s="1"/>
  <c r="W33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4" i="18"/>
  <c r="N24"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I77" i="63"/>
  <c r="W328" i="18"/>
  <c r="O305" i="52"/>
  <c r="J305" i="52"/>
  <c r="D416" i="15" l="1"/>
  <c r="F417" i="15"/>
  <c r="D415" i="15" l="1"/>
  <c r="F416" i="15"/>
  <c r="W327" i="18"/>
  <c r="W326" i="18"/>
  <c r="O302" i="52"/>
  <c r="F415" i="15" l="1"/>
  <c r="D414" i="15"/>
  <c r="G150" i="18"/>
  <c r="D413" i="15" l="1"/>
  <c r="F414" i="15"/>
  <c r="V394" i="18"/>
  <c r="D412" i="15" l="1"/>
  <c r="F413" i="15"/>
  <c r="W325" i="18"/>
  <c r="O301" i="52"/>
  <c r="J150" i="18"/>
  <c r="J153" i="18" l="1"/>
  <c r="L46" i="18" s="1"/>
  <c r="F412" i="15"/>
  <c r="D411" i="15"/>
  <c r="I153" i="18" l="1"/>
  <c r="D410" i="15"/>
  <c r="F411" i="15"/>
  <c r="W324" i="18"/>
  <c r="W323" i="18"/>
  <c r="J300" i="52"/>
  <c r="F410" i="15" l="1"/>
  <c r="D409" i="15"/>
  <c r="W322" i="18"/>
  <c r="O299" i="52"/>
  <c r="W321" i="18"/>
  <c r="W32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9" i="18"/>
  <c r="W318" i="18"/>
  <c r="W317" i="18"/>
  <c r="P28" i="18"/>
  <c r="N28" i="18" s="1"/>
  <c r="O298" i="52"/>
  <c r="D407" i="15" l="1"/>
  <c r="F408" i="15"/>
  <c r="J298" i="52"/>
  <c r="AL222" i="18"/>
  <c r="AM222" i="18" s="1"/>
  <c r="AL223" i="18"/>
  <c r="AM223" i="18" s="1"/>
  <c r="AL224" i="18"/>
  <c r="AM224" i="18" s="1"/>
  <c r="AL225" i="18"/>
  <c r="AM225" i="18" s="1"/>
  <c r="F407" i="15" l="1"/>
  <c r="D406" i="15"/>
  <c r="O297" i="52"/>
  <c r="W316" i="18"/>
  <c r="W315" i="18"/>
  <c r="W314" i="18"/>
  <c r="D405" i="15" l="1"/>
  <c r="F406" i="15"/>
  <c r="T396" i="18"/>
  <c r="T398" i="18" s="1"/>
  <c r="W313" i="18"/>
  <c r="J296" i="52"/>
  <c r="D404" i="15" l="1"/>
  <c r="F405" i="15"/>
  <c r="J295" i="52"/>
  <c r="F404" i="15" l="1"/>
  <c r="D403" i="15"/>
  <c r="W312"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0"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9" i="18"/>
  <c r="J279" i="52"/>
  <c r="AL220" i="18"/>
  <c r="AM220" i="18" s="1"/>
  <c r="D391" i="15" l="1"/>
  <c r="F392" i="15"/>
  <c r="J278" i="52"/>
  <c r="O278" i="52"/>
  <c r="F391" i="15" l="1"/>
  <c r="D390" i="15"/>
  <c r="I165" i="18"/>
  <c r="J277" i="52"/>
  <c r="O277" i="52"/>
  <c r="D389" i="15" l="1"/>
  <c r="F390" i="15"/>
  <c r="I167" i="18"/>
  <c r="E366" i="15"/>
  <c r="E367" i="15"/>
  <c r="E368" i="15"/>
  <c r="E369" i="15"/>
  <c r="E370" i="15"/>
  <c r="E371" i="15"/>
  <c r="E372" i="15"/>
  <c r="E373" i="15"/>
  <c r="E374" i="15"/>
  <c r="E375" i="15"/>
  <c r="E376" i="15"/>
  <c r="E377" i="15"/>
  <c r="O276" i="52"/>
  <c r="J276" i="52"/>
  <c r="W308" i="18"/>
  <c r="D388" i="15" l="1"/>
  <c r="F389" i="15"/>
  <c r="J275" i="52"/>
  <c r="F388" i="15" l="1"/>
  <c r="D387" i="15"/>
  <c r="W307" i="18"/>
  <c r="D386" i="15" l="1"/>
  <c r="F387" i="15"/>
  <c r="J274" i="52"/>
  <c r="F386" i="15" l="1"/>
  <c r="D385" i="15"/>
  <c r="W306" i="18"/>
  <c r="D384" i="15" l="1"/>
  <c r="F385" i="15"/>
  <c r="J271" i="52"/>
  <c r="D383" i="15" l="1"/>
  <c r="F384" i="15"/>
  <c r="J162" i="18"/>
  <c r="W305" i="18"/>
  <c r="G161" i="18"/>
  <c r="J161" i="18" s="1"/>
  <c r="N45" i="18"/>
  <c r="F383" i="15" l="1"/>
  <c r="D382" i="15"/>
  <c r="O269" i="52"/>
  <c r="F382" i="15" l="1"/>
  <c r="D381" i="15"/>
  <c r="J268" i="52"/>
  <c r="N268" i="52"/>
  <c r="W30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3" i="18"/>
  <c r="W30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300" i="18"/>
  <c r="W299" i="18"/>
  <c r="W298" i="18"/>
  <c r="D364" i="15" l="1"/>
  <c r="F365" i="15"/>
  <c r="O223" i="52"/>
  <c r="W297" i="18"/>
  <c r="F364" i="15" l="1"/>
  <c r="D363" i="15"/>
  <c r="J222" i="52"/>
  <c r="W296" i="18"/>
  <c r="D362" i="15" l="1"/>
  <c r="F363" i="15"/>
  <c r="W295" i="18"/>
  <c r="W294" i="18"/>
  <c r="D361" i="15" l="1"/>
  <c r="F362" i="15"/>
  <c r="O220" i="52"/>
  <c r="F361" i="15" l="1"/>
  <c r="D360" i="15"/>
  <c r="W293" i="18"/>
  <c r="W292" i="18"/>
  <c r="F360" i="15" l="1"/>
  <c r="D359" i="15"/>
  <c r="J218" i="52"/>
  <c r="D358" i="15" l="1"/>
  <c r="F359" i="15"/>
  <c r="F358" i="15" l="1"/>
  <c r="D357" i="15"/>
  <c r="J217" i="52"/>
  <c r="D356" i="15" l="1"/>
  <c r="F357" i="15"/>
  <c r="P8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9"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0" i="18"/>
  <c r="J167" i="18" l="1"/>
  <c r="J165" i="18"/>
  <c r="J166" i="18"/>
  <c r="J169" i="18" s="1"/>
  <c r="J159" i="18"/>
  <c r="I163" i="18" s="1"/>
  <c r="F348" i="15"/>
  <c r="D347" i="15"/>
  <c r="O210" i="52"/>
  <c r="W289" i="18"/>
  <c r="D346" i="15" l="1"/>
  <c r="F347" i="15"/>
  <c r="J210" i="52"/>
  <c r="D345" i="15" l="1"/>
  <c r="F346" i="15"/>
  <c r="J209" i="52"/>
  <c r="O208" i="52"/>
  <c r="J208" i="52"/>
  <c r="D344" i="15" l="1"/>
  <c r="F345" i="15"/>
  <c r="W288" i="18"/>
  <c r="F344" i="15" l="1"/>
  <c r="D343" i="15"/>
  <c r="O207" i="52"/>
  <c r="J207" i="52"/>
  <c r="W287" i="18"/>
  <c r="D342" i="15" l="1"/>
  <c r="F343" i="15"/>
  <c r="W286" i="18"/>
  <c r="D341" i="15" l="1"/>
  <c r="F342" i="15"/>
  <c r="W285" i="18"/>
  <c r="D340" i="15" l="1"/>
  <c r="F341" i="15"/>
  <c r="O204" i="52"/>
  <c r="F340" i="15" l="1"/>
  <c r="D339" i="15"/>
  <c r="J203" i="52"/>
  <c r="W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83" i="18"/>
  <c r="W282" i="18"/>
  <c r="W281" i="18"/>
  <c r="J202" i="52"/>
  <c r="D336" i="15" l="1"/>
  <c r="F337" i="15"/>
  <c r="W280" i="18"/>
  <c r="J201" i="52"/>
  <c r="W279" i="18"/>
  <c r="F336" i="15" l="1"/>
  <c r="D335" i="15"/>
  <c r="J200" i="52"/>
  <c r="D334" i="15" l="1"/>
  <c r="F335" i="15"/>
  <c r="W278" i="18"/>
  <c r="W277" i="18"/>
  <c r="AL221" i="18"/>
  <c r="AM221" i="18" s="1"/>
  <c r="F334" i="15" l="1"/>
  <c r="D333" i="15"/>
  <c r="W27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5" i="18"/>
  <c r="AM217" i="18" l="1"/>
  <c r="AL216" i="18"/>
  <c r="F330" i="15"/>
  <c r="D329" i="15"/>
  <c r="AM216" i="18" l="1"/>
  <c r="AL215" i="18"/>
  <c r="D328" i="15"/>
  <c r="F329" i="15"/>
  <c r="W274" i="18"/>
  <c r="AL214" i="18" l="1"/>
  <c r="AM215" i="18"/>
  <c r="D327" i="15"/>
  <c r="F328" i="15"/>
  <c r="W273" i="18"/>
  <c r="AM214" i="18" l="1"/>
  <c r="AL213" i="18"/>
  <c r="F327" i="15"/>
  <c r="D326" i="15"/>
  <c r="AL212" i="18" l="1"/>
  <c r="AM213" i="18"/>
  <c r="F326" i="15"/>
  <c r="D325" i="15"/>
  <c r="J195" i="52"/>
  <c r="O195" i="52"/>
  <c r="J194" i="52"/>
  <c r="W272" i="18"/>
  <c r="AL211" i="18" l="1"/>
  <c r="AM212" i="18"/>
  <c r="F325" i="15"/>
  <c r="D324" i="15"/>
  <c r="N194" i="52"/>
  <c r="W271" i="18"/>
  <c r="W270" i="18"/>
  <c r="AL210" i="18" l="1"/>
  <c r="AM211" i="18"/>
  <c r="F324" i="15"/>
  <c r="D323" i="15"/>
  <c r="W269" i="18"/>
  <c r="AM210" i="18" l="1"/>
  <c r="AL209" i="18"/>
  <c r="F323" i="15"/>
  <c r="D322" i="15"/>
  <c r="R143" i="18"/>
  <c r="S143" i="18" s="1"/>
  <c r="AL208" i="18" l="1"/>
  <c r="AM209" i="18"/>
  <c r="F322" i="15"/>
  <c r="D321" i="15"/>
  <c r="W268" i="18"/>
  <c r="AM208" i="18" l="1"/>
  <c r="AL207" i="18"/>
  <c r="F321" i="15"/>
  <c r="D320" i="15"/>
  <c r="W267" i="18"/>
  <c r="O190" i="52"/>
  <c r="J190" i="52"/>
  <c r="AL206" i="18" l="1"/>
  <c r="AM207" i="18"/>
  <c r="F320" i="15"/>
  <c r="D319" i="15"/>
  <c r="W266" i="18"/>
  <c r="AM206" i="18" l="1"/>
  <c r="AL205" i="18"/>
  <c r="F319" i="15"/>
  <c r="D318" i="15"/>
  <c r="N55" i="18"/>
  <c r="N53" i="18"/>
  <c r="AM205" i="18" l="1"/>
  <c r="AL204" i="18"/>
  <c r="F318" i="15"/>
  <c r="D317" i="15"/>
  <c r="O187" i="52"/>
  <c r="W265" i="18"/>
  <c r="AM204" i="18" l="1"/>
  <c r="AL203" i="18"/>
  <c r="F317" i="15"/>
  <c r="D316" i="15"/>
  <c r="J186" i="52"/>
  <c r="W264" i="18"/>
  <c r="W252" i="18"/>
  <c r="W251" i="18"/>
  <c r="AM203" i="18" l="1"/>
  <c r="AL202" i="18"/>
  <c r="F316" i="15"/>
  <c r="D315" i="15"/>
  <c r="J185" i="52"/>
  <c r="W263" i="18"/>
  <c r="AM202" i="18" l="1"/>
  <c r="AL201" i="18"/>
  <c r="F315" i="15"/>
  <c r="D314" i="15"/>
  <c r="AL200" i="18" l="1"/>
  <c r="AM201" i="18"/>
  <c r="F314" i="15"/>
  <c r="D313" i="15"/>
  <c r="AL199" i="18" l="1"/>
  <c r="AM200" i="18"/>
  <c r="F313" i="15"/>
  <c r="D312" i="15"/>
  <c r="N181" i="52"/>
  <c r="AL198" i="18" l="1"/>
  <c r="AM199" i="18"/>
  <c r="F312" i="15"/>
  <c r="D311" i="15"/>
  <c r="W262" i="18"/>
  <c r="B8" i="36"/>
  <c r="AL197" i="18" l="1"/>
  <c r="AM198" i="18"/>
  <c r="F311" i="15"/>
  <c r="D310" i="15"/>
  <c r="O178" i="52"/>
  <c r="J178" i="52"/>
  <c r="AM197" i="18" l="1"/>
  <c r="AL196" i="18"/>
  <c r="F310" i="15"/>
  <c r="D309" i="15"/>
  <c r="N49" i="18"/>
  <c r="G173" i="18" s="1"/>
  <c r="W261" i="18"/>
  <c r="O177" i="52"/>
  <c r="J177" i="52"/>
  <c r="M108" i="18" l="1"/>
  <c r="G174" i="18"/>
  <c r="AM196" i="18"/>
  <c r="AL195" i="18"/>
  <c r="F309" i="15"/>
  <c r="D308" i="15"/>
  <c r="O176" i="52"/>
  <c r="J176" i="52"/>
  <c r="AM195" i="18" l="1"/>
  <c r="AL194" i="18"/>
  <c r="F308" i="15"/>
  <c r="D307" i="15"/>
  <c r="F307" i="15" s="1"/>
  <c r="AM194" i="18" l="1"/>
  <c r="AL193" i="18"/>
  <c r="J174" i="52"/>
  <c r="W260" i="18"/>
  <c r="AM193" i="18" l="1"/>
  <c r="AL192" i="18"/>
  <c r="J168" i="52"/>
  <c r="O168" i="52"/>
  <c r="W259" i="18"/>
  <c r="AM192" i="18" l="1"/>
  <c r="AL191" i="18"/>
  <c r="AM191" i="18" s="1"/>
  <c r="O167" i="52"/>
  <c r="W258" i="18"/>
  <c r="O166" i="52" l="1"/>
  <c r="W257" i="18"/>
  <c r="W256" i="18" l="1"/>
  <c r="O165" i="52"/>
  <c r="J165" i="52"/>
  <c r="C7" i="60" l="1"/>
  <c r="D3" i="60"/>
  <c r="D4" i="60"/>
  <c r="D5" i="60"/>
  <c r="D2" i="60"/>
  <c r="F2" i="60"/>
  <c r="AL417" i="18" l="1"/>
  <c r="AM418" i="18"/>
  <c r="O162" i="52"/>
  <c r="J162" i="52"/>
  <c r="W255"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54" i="18"/>
  <c r="AL413" i="18" l="1"/>
  <c r="AM414" i="18"/>
  <c r="W253" i="18"/>
  <c r="AM413" i="18" l="1"/>
  <c r="AL412" i="18"/>
  <c r="AL190" i="18"/>
  <c r="AL411" i="18" l="1"/>
  <c r="AM412" i="18"/>
  <c r="AL189" i="18"/>
  <c r="AM190" i="18"/>
  <c r="N159" i="52"/>
  <c r="P160" i="52" s="1"/>
  <c r="W250"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9" i="18"/>
  <c r="W248" i="18"/>
  <c r="O150" i="52"/>
  <c r="AL406" i="18" l="1"/>
  <c r="AM407" i="18"/>
  <c r="AM185" i="18"/>
  <c r="AL184" i="18"/>
  <c r="AL405" i="18" l="1"/>
  <c r="AM406" i="18"/>
  <c r="AL183" i="18"/>
  <c r="AM184" i="18"/>
  <c r="Q146" i="52"/>
  <c r="J146" i="52"/>
  <c r="W24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46" i="18"/>
  <c r="AM403" i="18" l="1"/>
  <c r="AL402" i="18"/>
  <c r="AM181" i="18"/>
  <c r="AL180" i="18"/>
  <c r="J145" i="18"/>
  <c r="I145" i="18" s="1"/>
  <c r="G138" i="18"/>
  <c r="J138" i="18" s="1"/>
  <c r="J140" i="18" s="1"/>
  <c r="I140" i="18" s="1"/>
  <c r="W245" i="18"/>
  <c r="AL401" i="18" l="1"/>
  <c r="AM402" i="18"/>
  <c r="AM180" i="18"/>
  <c r="AL179" i="18"/>
  <c r="O142" i="52"/>
  <c r="J142" i="52"/>
  <c r="W244" i="18"/>
  <c r="AL400" i="18" l="1"/>
  <c r="AM401" i="18"/>
  <c r="AM179" i="18"/>
  <c r="AL178" i="18"/>
  <c r="AM178" i="18" s="1"/>
  <c r="O140" i="52"/>
  <c r="J140" i="52"/>
  <c r="W243" i="18"/>
  <c r="AM400" i="18" l="1"/>
  <c r="AL399" i="18"/>
  <c r="W242" i="18"/>
  <c r="W241" i="18"/>
  <c r="O139" i="52"/>
  <c r="J139" i="52"/>
  <c r="AM399" i="18" l="1"/>
  <c r="AL398" i="18"/>
  <c r="W240" i="18"/>
  <c r="AM398" i="18" l="1"/>
  <c r="AL397" i="18"/>
  <c r="AM397" i="18" l="1"/>
  <c r="AL396" i="18"/>
  <c r="M41" i="52"/>
  <c r="AM396" i="18" l="1"/>
  <c r="AL395" i="18"/>
  <c r="O135" i="52"/>
  <c r="J135" i="52"/>
  <c r="AM395" i="18" l="1"/>
  <c r="AL394" i="18"/>
  <c r="AL393" i="18" l="1"/>
  <c r="AM394" i="18"/>
  <c r="W239" i="18"/>
  <c r="AL392" i="18" l="1"/>
  <c r="AM393" i="18"/>
  <c r="O132" i="52"/>
  <c r="W238" i="18"/>
  <c r="AM392" i="18" l="1"/>
  <c r="AL391" i="18"/>
  <c r="O131" i="52"/>
  <c r="J3" i="60"/>
  <c r="J4" i="60"/>
  <c r="J5" i="60"/>
  <c r="J2" i="60"/>
  <c r="I9" i="60"/>
  <c r="I7" i="60"/>
  <c r="AL390" i="18" l="1"/>
  <c r="AM391" i="18"/>
  <c r="O130" i="52"/>
  <c r="O129" i="52"/>
  <c r="W237" i="18"/>
  <c r="W236" i="18"/>
  <c r="AL389" i="18" l="1"/>
  <c r="AM390" i="18"/>
  <c r="N129" i="52"/>
  <c r="AL388" i="18" l="1"/>
  <c r="AM389" i="18"/>
  <c r="O127" i="52"/>
  <c r="AL387" i="18" l="1"/>
  <c r="AM388" i="18"/>
  <c r="J126" i="52"/>
  <c r="O126" i="52"/>
  <c r="W235" i="18"/>
  <c r="AM387" i="18" l="1"/>
  <c r="AL386" i="18"/>
  <c r="O125" i="52"/>
  <c r="J125" i="52"/>
  <c r="AM386" i="18" l="1"/>
  <c r="AL385" i="18"/>
  <c r="W234"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3"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2" i="18"/>
  <c r="AM382" i="18" l="1"/>
  <c r="AL381" i="18"/>
  <c r="AM381" i="18" l="1"/>
  <c r="AL380" i="18"/>
  <c r="O121" i="52"/>
  <c r="J121" i="52"/>
  <c r="W231" i="18"/>
  <c r="AL379" i="18" l="1"/>
  <c r="AM380" i="18"/>
  <c r="W230" i="18"/>
  <c r="J120" i="52"/>
  <c r="AM379" i="18" l="1"/>
  <c r="AL378" i="18"/>
  <c r="AL377" i="18" l="1"/>
  <c r="AM378" i="18"/>
  <c r="O117" i="52"/>
  <c r="AM377" i="18" l="1"/>
  <c r="AL376" i="18"/>
  <c r="O116" i="52"/>
  <c r="N116" i="52"/>
  <c r="AM376" i="18" l="1"/>
  <c r="AL375" i="18"/>
  <c r="W229"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8" i="18"/>
  <c r="J108" i="52"/>
  <c r="AM367" i="18" l="1"/>
  <c r="AL366" i="18"/>
  <c r="D303" i="15"/>
  <c r="F303" i="15" s="1"/>
  <c r="W227" i="18"/>
  <c r="W226" i="18"/>
  <c r="AM366" i="18" l="1"/>
  <c r="AL365" i="18"/>
  <c r="D302" i="15"/>
  <c r="F302" i="15" s="1"/>
  <c r="O106" i="52"/>
  <c r="J106" i="52"/>
  <c r="AL364" i="18" l="1"/>
  <c r="AM365" i="18"/>
  <c r="D301" i="15"/>
  <c r="F301" i="15" s="1"/>
  <c r="J104" i="52"/>
  <c r="G124" i="18"/>
  <c r="J124" i="18" s="1"/>
  <c r="J127" i="18" s="1"/>
  <c r="I127" i="18" s="1"/>
  <c r="E276" i="15"/>
  <c r="E277" i="15"/>
  <c r="E278" i="15"/>
  <c r="E279" i="15"/>
  <c r="E280" i="15"/>
  <c r="AL363" i="18" l="1"/>
  <c r="AM364" i="18"/>
  <c r="D300" i="15"/>
  <c r="F300" i="15" s="1"/>
  <c r="W225"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4"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3"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R282" i="18"/>
  <c r="T391" i="18" s="1"/>
  <c r="W222" i="18"/>
  <c r="W221" i="18"/>
  <c r="W220" i="18"/>
  <c r="M48" i="52"/>
  <c r="M47" i="52"/>
  <c r="N38" i="52"/>
  <c r="N37" i="52"/>
  <c r="M49" i="52"/>
  <c r="N50" i="52" s="1"/>
  <c r="AL350" i="18" l="1"/>
  <c r="AM351" i="18"/>
  <c r="D287" i="15"/>
  <c r="F287" i="15" s="1"/>
  <c r="N49" i="52"/>
  <c r="W219" i="18"/>
  <c r="AM350" i="18" l="1"/>
  <c r="AL349" i="18"/>
  <c r="D286" i="15"/>
  <c r="F286" i="15" s="1"/>
  <c r="AL348" i="18" l="1"/>
  <c r="AM349" i="18"/>
  <c r="D285" i="15"/>
  <c r="F285" i="15" s="1"/>
  <c r="W218" i="18"/>
  <c r="AL347" i="18" l="1"/>
  <c r="AM348" i="18"/>
  <c r="D284" i="15"/>
  <c r="F284" i="15" s="1"/>
  <c r="O90" i="52"/>
  <c r="O91" i="52"/>
  <c r="J91" i="52"/>
  <c r="AM347" i="18" l="1"/>
  <c r="AL34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7" i="18"/>
  <c r="AM346" i="18" l="1"/>
  <c r="AL345" i="18"/>
  <c r="D282" i="15"/>
  <c r="F282" i="15" s="1"/>
  <c r="G32" i="57"/>
  <c r="H32" i="57"/>
  <c r="D32" i="57"/>
  <c r="I32" i="57" s="1"/>
  <c r="D345" i="20"/>
  <c r="W216" i="18"/>
  <c r="W215"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14" i="18"/>
  <c r="D343" i="20"/>
  <c r="AL341" i="18" l="1"/>
  <c r="AM342" i="18"/>
  <c r="D278" i="15"/>
  <c r="F278" i="15" s="1"/>
  <c r="W213" i="18"/>
  <c r="D342" i="20"/>
  <c r="J83" i="52"/>
  <c r="O83" i="52"/>
  <c r="W212" i="18"/>
  <c r="W211" i="18"/>
  <c r="F44" i="14"/>
  <c r="F45" i="14"/>
  <c r="F46" i="14"/>
  <c r="F47" i="14"/>
  <c r="F48" i="14"/>
  <c r="F49" i="14"/>
  <c r="F50" i="14"/>
  <c r="D341" i="20"/>
  <c r="AL340" i="18" l="1"/>
  <c r="AM341" i="18"/>
  <c r="D277" i="15"/>
  <c r="F277" i="15" s="1"/>
  <c r="AJ442" i="18"/>
  <c r="AM340" i="18" l="1"/>
  <c r="AL339" i="18"/>
  <c r="D276" i="15"/>
  <c r="F276" i="15" s="1"/>
  <c r="W210" i="18"/>
  <c r="AL338" i="18" l="1"/>
  <c r="AM339" i="18"/>
  <c r="D340" i="20"/>
  <c r="W209" i="18"/>
  <c r="H337" i="20"/>
  <c r="H338" i="20"/>
  <c r="H339" i="20"/>
  <c r="H340" i="20"/>
  <c r="H341" i="20"/>
  <c r="H368" i="20"/>
  <c r="H369" i="20"/>
  <c r="D339" i="20"/>
  <c r="AL337" i="18" l="1"/>
  <c r="AM338" i="18"/>
  <c r="B371" i="20"/>
  <c r="D332" i="20"/>
  <c r="D333" i="20"/>
  <c r="D334" i="20"/>
  <c r="D335" i="20"/>
  <c r="D336" i="20"/>
  <c r="D337" i="20"/>
  <c r="D338" i="20"/>
  <c r="D369" i="20"/>
  <c r="AL336" i="18" l="1"/>
  <c r="AM337" i="18"/>
  <c r="W208" i="18"/>
  <c r="D80" i="57"/>
  <c r="AL335" i="18" l="1"/>
  <c r="AM336" i="18"/>
  <c r="G46" i="10"/>
  <c r="AL334" i="18" l="1"/>
  <c r="AM335" i="18"/>
  <c r="D331" i="20"/>
  <c r="AL333" i="18" l="1"/>
  <c r="AM334" i="18"/>
  <c r="D330" i="20"/>
  <c r="AL332" i="18" l="1"/>
  <c r="AM333" i="18"/>
  <c r="W207" i="18"/>
  <c r="W206"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5" i="18"/>
  <c r="W204" i="18"/>
  <c r="AL320" i="18" l="1"/>
  <c r="AM321" i="18"/>
  <c r="R16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3" i="18"/>
  <c r="W202" i="18"/>
  <c r="L36" i="18"/>
  <c r="N36" i="52"/>
  <c r="N35" i="52"/>
  <c r="Q42" i="52"/>
  <c r="AL318" i="18" l="1"/>
  <c r="AM319" i="18"/>
  <c r="W201" i="18"/>
  <c r="W200"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9" i="18"/>
  <c r="W198" i="18"/>
  <c r="N32" i="52"/>
  <c r="N31" i="52"/>
  <c r="AL313" i="18" l="1"/>
  <c r="AM313" i="18" s="1"/>
  <c r="AM314" i="18"/>
  <c r="W197" i="18"/>
  <c r="W196" i="18"/>
  <c r="N30" i="52"/>
  <c r="N29" i="52"/>
  <c r="W195" i="18" l="1"/>
  <c r="W194" i="18"/>
  <c r="N28" i="52"/>
  <c r="N27" i="52"/>
  <c r="AL312" i="18" l="1"/>
  <c r="D313" i="20"/>
  <c r="AL311" i="18" l="1"/>
  <c r="AM312" i="18"/>
  <c r="L115" i="18"/>
  <c r="L110" i="18" l="1"/>
  <c r="N110" i="18" s="1"/>
  <c r="L112" i="18"/>
  <c r="N112" i="18" s="1"/>
  <c r="L111" i="18"/>
  <c r="N111" i="18" s="1"/>
  <c r="M115" i="18"/>
  <c r="AM311" i="18"/>
  <c r="AL310" i="18"/>
  <c r="L107" i="18"/>
  <c r="W193" i="18"/>
  <c r="W192" i="18"/>
  <c r="N24" i="52"/>
  <c r="N26" i="52"/>
  <c r="N25" i="52"/>
  <c r="AL309" i="18" l="1"/>
  <c r="AM31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1" i="18"/>
  <c r="W190" i="18"/>
  <c r="N23" i="52"/>
  <c r="N22" i="52"/>
  <c r="I368" i="20" l="1"/>
  <c r="G367" i="20"/>
  <c r="J368" i="20"/>
  <c r="K368" i="20"/>
  <c r="AL307" i="18"/>
  <c r="AM308" i="18"/>
  <c r="W189" i="18"/>
  <c r="W188"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87" i="18"/>
  <c r="W186" i="18"/>
  <c r="AL176" i="18" l="1"/>
  <c r="AM177" i="18"/>
  <c r="K362" i="20"/>
  <c r="G361" i="20"/>
  <c r="I362" i="20"/>
  <c r="J362" i="20"/>
  <c r="AL301" i="18"/>
  <c r="AM302" i="18"/>
  <c r="AL175" i="18" l="1"/>
  <c r="AM176" i="18"/>
  <c r="I361" i="20"/>
  <c r="G360" i="20"/>
  <c r="J361" i="20"/>
  <c r="K361" i="20"/>
  <c r="AL300" i="18"/>
  <c r="AM301" i="18"/>
  <c r="G107" i="18"/>
  <c r="F107"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5" i="18"/>
  <c r="W184" i="18"/>
  <c r="N17" i="52"/>
  <c r="N16" i="52"/>
  <c r="AL170" i="18" l="1"/>
  <c r="AM171" i="18"/>
  <c r="I356" i="20"/>
  <c r="G355" i="20"/>
  <c r="J356" i="20"/>
  <c r="K356" i="20"/>
  <c r="L108" i="18"/>
  <c r="AL169" i="18" l="1"/>
  <c r="AL168" i="18" s="1"/>
  <c r="AM170" i="18"/>
  <c r="J355" i="20"/>
  <c r="I355" i="20"/>
  <c r="G354" i="20"/>
  <c r="K355" i="20"/>
  <c r="W183" i="18"/>
  <c r="W182" i="18"/>
  <c r="D303" i="20"/>
  <c r="D302" i="20"/>
  <c r="W181"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9" i="18"/>
  <c r="AL163" i="18" l="1"/>
  <c r="AM164" i="18"/>
  <c r="I350" i="20"/>
  <c r="J350" i="20"/>
  <c r="K350" i="20"/>
  <c r="G349" i="20"/>
  <c r="D296" i="20"/>
  <c r="D295" i="20"/>
  <c r="AM163" i="18" l="1"/>
  <c r="AL162" i="18"/>
  <c r="K349" i="20"/>
  <c r="I349" i="20"/>
  <c r="J349" i="20"/>
  <c r="G348" i="20"/>
  <c r="W178" i="18"/>
  <c r="W177"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76" i="18"/>
  <c r="W175" i="18"/>
  <c r="AM161" i="18" l="1"/>
  <c r="AL160" i="18"/>
  <c r="G346" i="20"/>
  <c r="J347" i="20"/>
  <c r="I347" i="20"/>
  <c r="K347" i="20"/>
  <c r="D293" i="20"/>
  <c r="AL159" i="18" l="1"/>
  <c r="AM160" i="18"/>
  <c r="K346" i="20"/>
  <c r="G345" i="20"/>
  <c r="J346" i="20"/>
  <c r="I346" i="20"/>
  <c r="W174" i="18"/>
  <c r="AM159" i="18" l="1"/>
  <c r="AL158" i="18"/>
  <c r="K345" i="20"/>
  <c r="G344" i="20"/>
  <c r="J345" i="20"/>
  <c r="I345" i="20"/>
  <c r="D292" i="20"/>
  <c r="C8" i="36"/>
  <c r="W17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9" i="18"/>
  <c r="AM124" i="18" l="1"/>
  <c r="AL123" i="18"/>
  <c r="AM123" i="18" l="1"/>
  <c r="AL122" i="18"/>
  <c r="AL121" i="18" l="1"/>
  <c r="AM122" i="18"/>
  <c r="W163" i="18"/>
  <c r="W164" i="18"/>
  <c r="W165" i="18"/>
  <c r="W166" i="18"/>
  <c r="W167" i="18"/>
  <c r="W168" i="18"/>
  <c r="W180" i="18"/>
  <c r="W162" i="18"/>
  <c r="AM121" i="18" l="1"/>
  <c r="AL120" i="18"/>
  <c r="N54" i="18"/>
  <c r="AM120" i="18" l="1"/>
  <c r="AL119" i="18"/>
  <c r="AM119" i="18" l="1"/>
  <c r="AL118" i="18"/>
  <c r="S70" i="18"/>
  <c r="S71" i="18" s="1"/>
  <c r="S72" i="18" s="1"/>
  <c r="R167" i="18"/>
  <c r="R165" i="18"/>
  <c r="D57" i="51"/>
  <c r="AL117" i="18" l="1"/>
  <c r="AM118" i="18"/>
  <c r="S73" i="18"/>
  <c r="S74" i="18" s="1"/>
  <c r="AM117" i="18" l="1"/>
  <c r="AL116" i="18"/>
  <c r="S75" i="18"/>
  <c r="S76" i="18" s="1"/>
  <c r="N31" i="18"/>
  <c r="Q89" i="18" l="1"/>
  <c r="R16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AL113" i="18"/>
  <c r="AM114" i="18"/>
  <c r="S20" i="18"/>
  <c r="S21" i="18" s="1"/>
  <c r="AL112" i="18" l="1"/>
  <c r="AM113" i="18"/>
  <c r="Q138" i="18" l="1"/>
  <c r="AM112" i="18"/>
  <c r="AL111" i="18"/>
  <c r="D108" i="50"/>
  <c r="S80" i="18" l="1"/>
  <c r="S81" i="18" s="1"/>
  <c r="AL110" i="18"/>
  <c r="AM111" i="18"/>
  <c r="AL109" i="18" l="1"/>
  <c r="AM110" i="18"/>
  <c r="N109" i="18" l="1"/>
  <c r="AL108" i="18"/>
  <c r="AM109" i="18"/>
  <c r="N22" i="33"/>
  <c r="R22" i="33" s="1"/>
  <c r="S82" i="18" l="1"/>
  <c r="E22" i="33"/>
  <c r="AL107" i="18"/>
  <c r="AM108" i="18"/>
  <c r="C22" i="33"/>
  <c r="J22" i="33"/>
  <c r="F22" i="33"/>
  <c r="B22" i="33"/>
  <c r="I22" i="33"/>
  <c r="L22" i="33"/>
  <c r="H22" i="33"/>
  <c r="D22" i="33"/>
  <c r="K22" i="33"/>
  <c r="G22" i="33"/>
  <c r="S83" i="18" l="1"/>
  <c r="S84" i="18" s="1"/>
  <c r="S85" i="18" s="1"/>
  <c r="S86"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8" i="18" l="1"/>
  <c r="AL99" i="18"/>
  <c r="AM100" i="18"/>
  <c r="AL285" i="18"/>
  <c r="AM286" i="18"/>
  <c r="AM99" i="18" l="1"/>
  <c r="AL98" i="18"/>
  <c r="AL284" i="18"/>
  <c r="AM285" i="18"/>
  <c r="AL97" i="18" l="1"/>
  <c r="AM98" i="18"/>
  <c r="AL283" i="18"/>
  <c r="AM284" i="18"/>
  <c r="S29" i="18" l="1"/>
  <c r="S30"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80" i="18"/>
  <c r="AM281" i="18"/>
  <c r="N21" i="18"/>
  <c r="I173" i="18" s="1"/>
  <c r="M107" i="18" l="1"/>
  <c r="I174" i="18"/>
  <c r="Q65" i="18"/>
  <c r="R163" i="18"/>
  <c r="AJ446" i="18"/>
  <c r="AJ447" i="18" s="1"/>
  <c r="AM94" i="18"/>
  <c r="AL93" i="18"/>
  <c r="AL279" i="18"/>
  <c r="AM280" i="18"/>
  <c r="AL92" i="18" l="1"/>
  <c r="AM93" i="18"/>
  <c r="AL278" i="18"/>
  <c r="AM279" i="18"/>
  <c r="AL91" i="18" l="1"/>
  <c r="AM92" i="18"/>
  <c r="AM278" i="18"/>
  <c r="AL277" i="18"/>
  <c r="S34" i="18" l="1"/>
  <c r="AL90" i="18"/>
  <c r="AM91" i="18"/>
  <c r="AL276" i="18"/>
  <c r="AM277" i="18"/>
  <c r="AM90" i="18" l="1"/>
  <c r="AL89" i="18"/>
  <c r="AM276" i="18"/>
  <c r="AL275" i="18"/>
  <c r="AL88" i="18" l="1"/>
  <c r="AM89" i="18"/>
  <c r="AM275" i="18"/>
  <c r="AL274" i="18"/>
  <c r="S35" i="18" l="1"/>
  <c r="S36" i="18" s="1"/>
  <c r="S37" i="18" s="1"/>
  <c r="AM88" i="18"/>
  <c r="AL87" i="18"/>
  <c r="AL273" i="18"/>
  <c r="AM274" i="18"/>
  <c r="B10" i="36"/>
  <c r="S38" i="18" l="1"/>
  <c r="S39" i="18" s="1"/>
  <c r="S40" i="18" s="1"/>
  <c r="AL86" i="18"/>
  <c r="AM87" i="18"/>
  <c r="AL272" i="18"/>
  <c r="AM273" i="18"/>
  <c r="S41" i="18" l="1"/>
  <c r="S42" i="18" s="1"/>
  <c r="AL85" i="18"/>
  <c r="AM86" i="18"/>
  <c r="AL271" i="18"/>
  <c r="AM272" i="18"/>
  <c r="N25" i="33"/>
  <c r="N24" i="33"/>
  <c r="N21" i="33"/>
  <c r="N20" i="33"/>
  <c r="N19" i="33"/>
  <c r="N18" i="33"/>
  <c r="L18" i="33" s="1"/>
  <c r="N17" i="33"/>
  <c r="N9" i="33"/>
  <c r="N3" i="33"/>
  <c r="N4" i="33"/>
  <c r="S43" i="18" l="1"/>
  <c r="S44"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7" i="18" s="1"/>
  <c r="S45" i="18"/>
  <c r="AM84" i="18"/>
  <c r="AL83" i="18"/>
  <c r="AM270" i="18"/>
  <c r="AL269" i="18"/>
  <c r="AC15" i="33"/>
  <c r="S48" i="18" l="1"/>
  <c r="S49" i="18" s="1"/>
  <c r="S50" i="18" s="1"/>
  <c r="S51" i="18" s="1"/>
  <c r="S52" i="18" s="1"/>
  <c r="S53" i="18" s="1"/>
  <c r="S54" i="18" s="1"/>
  <c r="S55" i="18" s="1"/>
  <c r="S56" i="18" s="1"/>
  <c r="S57" i="18" s="1"/>
  <c r="S58" i="18" s="1"/>
  <c r="S59" i="18" s="1"/>
  <c r="S60" i="18" s="1"/>
  <c r="S61" i="18" s="1"/>
  <c r="AL82" i="18"/>
  <c r="AM83" i="18"/>
  <c r="AM269" i="18"/>
  <c r="AL268" i="18"/>
  <c r="N16" i="33"/>
  <c r="AL81" i="18" l="1"/>
  <c r="AM82" i="18"/>
  <c r="AM268" i="18"/>
  <c r="AL267" i="18"/>
  <c r="AM267" i="18" s="1"/>
  <c r="L16" i="33"/>
  <c r="J16" i="33"/>
  <c r="F16" i="33"/>
  <c r="C16" i="33"/>
  <c r="K16" i="33"/>
  <c r="G16" i="33"/>
  <c r="H16" i="33"/>
  <c r="D16" i="33"/>
  <c r="I16" i="33"/>
  <c r="E16" i="33"/>
  <c r="B16" i="33"/>
  <c r="R16" i="33"/>
  <c r="AM442" i="18" l="1"/>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7" i="18" l="1"/>
  <c r="N115" i="18" s="1"/>
  <c r="R162" i="18"/>
  <c r="R178" i="18" s="1"/>
  <c r="T378" i="18" s="1"/>
  <c r="AJ256" i="18"/>
  <c r="AJ257" i="18" s="1"/>
  <c r="G305" i="20"/>
  <c r="I306" i="20"/>
  <c r="K306" i="20"/>
  <c r="J306" i="20"/>
  <c r="AL74" i="18"/>
  <c r="AM75" i="18"/>
  <c r="W147" i="18" l="1"/>
  <c r="G304" i="20"/>
  <c r="I305" i="20"/>
  <c r="K305" i="20"/>
  <c r="J305" i="20"/>
  <c r="AL73" i="18"/>
  <c r="AM74" i="18"/>
  <c r="R93" i="18"/>
  <c r="V61" i="18" l="1"/>
  <c r="V60" i="18"/>
  <c r="V59" i="18"/>
  <c r="V86" i="18"/>
  <c r="V85" i="18"/>
  <c r="V58" i="18"/>
  <c r="V57" i="18"/>
  <c r="V55" i="18"/>
  <c r="W55" i="18" s="1"/>
  <c r="V54" i="18"/>
  <c r="V53" i="18"/>
  <c r="V51" i="18"/>
  <c r="V52" i="18"/>
  <c r="V56" i="18"/>
  <c r="V63" i="18"/>
  <c r="V64" i="18"/>
  <c r="V50" i="18"/>
  <c r="V49" i="18"/>
  <c r="V48" i="18"/>
  <c r="X48" i="18" s="1"/>
  <c r="V47" i="18"/>
  <c r="V84" i="18"/>
  <c r="V137" i="18"/>
  <c r="V136" i="18"/>
  <c r="V46" i="18"/>
  <c r="V83" i="18"/>
  <c r="V45" i="18"/>
  <c r="V44" i="18"/>
  <c r="W44" i="18" s="1"/>
  <c r="V43" i="18"/>
  <c r="X43" i="18" s="1"/>
  <c r="V82" i="18"/>
  <c r="V81" i="18"/>
  <c r="W81" i="18" s="1"/>
  <c r="V42" i="18"/>
  <c r="V41" i="18"/>
  <c r="V40" i="18"/>
  <c r="V38" i="18"/>
  <c r="V39" i="18"/>
  <c r="V37" i="18"/>
  <c r="W37" i="18" s="1"/>
  <c r="V35" i="18"/>
  <c r="V36" i="18"/>
  <c r="V34" i="18"/>
  <c r="X34" i="18" s="1"/>
  <c r="V381" i="18"/>
  <c r="W150" i="18"/>
  <c r="V80" i="18"/>
  <c r="X80" i="18" s="1"/>
  <c r="V79" i="18"/>
  <c r="W79" i="18" s="1"/>
  <c r="V88" i="18"/>
  <c r="V33" i="18"/>
  <c r="U391" i="18"/>
  <c r="V391" i="18" s="1"/>
  <c r="W149" i="18"/>
  <c r="V97" i="18"/>
  <c r="V78" i="18"/>
  <c r="W78" i="18" s="1"/>
  <c r="V32" i="18"/>
  <c r="V31" i="18"/>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W59" i="18" l="1"/>
  <c r="X59" i="18"/>
  <c r="W60" i="18"/>
  <c r="X60" i="18"/>
  <c r="W61" i="18"/>
  <c r="X61" i="18"/>
  <c r="W85" i="18"/>
  <c r="X85" i="18"/>
  <c r="W86" i="18"/>
  <c r="X86" i="18"/>
  <c r="W57" i="18"/>
  <c r="X57" i="18"/>
  <c r="W58" i="18"/>
  <c r="X58" i="18"/>
  <c r="X55" i="18"/>
  <c r="W53" i="18"/>
  <c r="X53" i="18"/>
  <c r="W54" i="18"/>
  <c r="X54" i="18"/>
  <c r="W63" i="18"/>
  <c r="X63" i="18"/>
  <c r="X52" i="18"/>
  <c r="W52" i="18"/>
  <c r="X64" i="18"/>
  <c r="W64" i="18"/>
  <c r="W56" i="18"/>
  <c r="X56" i="18"/>
  <c r="W51" i="18"/>
  <c r="X51" i="18"/>
  <c r="W49" i="18"/>
  <c r="X49" i="18"/>
  <c r="W50" i="18"/>
  <c r="X50" i="18"/>
  <c r="W48" i="18"/>
  <c r="W84" i="18"/>
  <c r="X84" i="18"/>
  <c r="W47" i="18"/>
  <c r="X47" i="18"/>
  <c r="X137" i="18"/>
  <c r="W137" i="18"/>
  <c r="W136" i="18"/>
  <c r="X136" i="18"/>
  <c r="W46" i="18"/>
  <c r="X46" i="18"/>
  <c r="X45" i="18"/>
  <c r="W45" i="18"/>
  <c r="W83" i="18"/>
  <c r="X83" i="18"/>
  <c r="X44" i="18"/>
  <c r="W43" i="18"/>
  <c r="X82" i="18"/>
  <c r="W82" i="18"/>
  <c r="X81" i="18"/>
  <c r="W42" i="18"/>
  <c r="X42" i="18"/>
  <c r="X41" i="18"/>
  <c r="W41" i="18"/>
  <c r="W40" i="18"/>
  <c r="X40" i="18"/>
  <c r="W39" i="18"/>
  <c r="X39" i="18"/>
  <c r="W38" i="18"/>
  <c r="X38" i="18"/>
  <c r="X37" i="18"/>
  <c r="X36" i="18"/>
  <c r="W36" i="18"/>
  <c r="W35" i="18"/>
  <c r="X35" i="18"/>
  <c r="W34" i="18"/>
  <c r="W80" i="18"/>
  <c r="X79" i="18"/>
  <c r="W88" i="18"/>
  <c r="X88" i="18"/>
  <c r="W33" i="18"/>
  <c r="X33" i="18"/>
  <c r="X78" i="18"/>
  <c r="W32" i="18"/>
  <c r="X32" i="18"/>
  <c r="W31" i="18"/>
  <c r="X31" i="18"/>
  <c r="X30" i="18"/>
  <c r="W30" i="18"/>
  <c r="W29" i="18"/>
  <c r="X29" i="18"/>
  <c r="X28" i="18"/>
  <c r="W77" i="18"/>
  <c r="X77" i="18"/>
  <c r="W76" i="18"/>
  <c r="X76" i="18"/>
  <c r="W27" i="18"/>
  <c r="X27" i="18"/>
  <c r="W148" i="18"/>
  <c r="G302" i="20"/>
  <c r="K303" i="20"/>
  <c r="I303" i="20"/>
  <c r="J303" i="20"/>
  <c r="X26" i="18"/>
  <c r="W75" i="18"/>
  <c r="X75" i="18"/>
  <c r="W25" i="18"/>
  <c r="X25" i="18"/>
  <c r="X24" i="18"/>
  <c r="W74" i="18"/>
  <c r="X74" i="18"/>
  <c r="W23" i="18"/>
  <c r="W73" i="18"/>
  <c r="X73" i="18"/>
  <c r="W72" i="18"/>
  <c r="X72" i="18"/>
  <c r="N34" i="18"/>
  <c r="W146" i="18"/>
  <c r="X71" i="18"/>
  <c r="W71" i="18"/>
  <c r="W22" i="18"/>
  <c r="X22" i="18"/>
  <c r="W20" i="18"/>
  <c r="X20" i="18"/>
  <c r="W97" i="18"/>
  <c r="X97" i="18"/>
  <c r="W21" i="18"/>
  <c r="X21" i="18"/>
  <c r="AL71" i="18"/>
  <c r="AM72" i="18"/>
  <c r="I176" i="18" l="1"/>
  <c r="W156" i="18"/>
  <c r="G175" i="18"/>
  <c r="I175" i="18"/>
  <c r="G176" i="18"/>
  <c r="N62" i="18"/>
  <c r="L21" i="18"/>
  <c r="W157" i="18"/>
  <c r="G301" i="20"/>
  <c r="I302" i="20"/>
  <c r="K302" i="20"/>
  <c r="J302" i="20"/>
  <c r="AL70" i="18"/>
  <c r="AM71" i="18"/>
  <c r="I177" i="18" l="1"/>
  <c r="G177"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99" i="18" l="1"/>
  <c r="S10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98" i="18" l="1"/>
  <c r="W9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9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1" i="18" l="1"/>
  <c r="V99" i="18"/>
  <c r="G189" i="20"/>
  <c r="K190" i="20"/>
  <c r="I190" i="20"/>
  <c r="J190" i="20"/>
  <c r="S102" i="18" l="1"/>
  <c r="X99" i="18"/>
  <c r="W9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0" i="18" l="1"/>
  <c r="G186" i="20"/>
  <c r="K187" i="20"/>
  <c r="J187" i="20"/>
  <c r="I187" i="20"/>
  <c r="D141" i="20"/>
  <c r="W100" i="18" l="1"/>
  <c r="X100" i="18"/>
  <c r="G185" i="20"/>
  <c r="I186" i="20"/>
  <c r="J186" i="20"/>
  <c r="K186" i="20"/>
  <c r="F2" i="16"/>
  <c r="G2" i="16" s="1"/>
  <c r="G85" i="16" s="1"/>
  <c r="G184" i="20" l="1"/>
  <c r="I185" i="20"/>
  <c r="J185" i="20"/>
  <c r="K185" i="20"/>
  <c r="F185" i="15"/>
  <c r="D140" i="20"/>
  <c r="S103" i="18" l="1"/>
  <c r="V10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1" i="18" l="1"/>
  <c r="X101" i="18"/>
  <c r="I183" i="20"/>
  <c r="G182" i="20"/>
  <c r="K183" i="20"/>
  <c r="J183" i="20"/>
  <c r="F183" i="15"/>
  <c r="G43" i="10"/>
  <c r="K182" i="20" l="1"/>
  <c r="I182" i="20"/>
  <c r="J182" i="20"/>
  <c r="G181" i="20"/>
  <c r="D138" i="20"/>
  <c r="V102" i="18" l="1"/>
  <c r="G180" i="20"/>
  <c r="I181" i="20"/>
  <c r="K181" i="20"/>
  <c r="J181" i="20"/>
  <c r="G42" i="10"/>
  <c r="W102" i="18" l="1"/>
  <c r="X102" i="18"/>
  <c r="I180" i="20"/>
  <c r="G179" i="20"/>
  <c r="J180" i="20"/>
  <c r="K180" i="20"/>
  <c r="E167" i="15"/>
  <c r="E168" i="15"/>
  <c r="E169" i="15"/>
  <c r="E170" i="15"/>
  <c r="E171" i="15"/>
  <c r="E172" i="15"/>
  <c r="E173" i="15"/>
  <c r="E174" i="15"/>
  <c r="E175" i="15"/>
  <c r="E176" i="15"/>
  <c r="E177" i="15"/>
  <c r="E178" i="15"/>
  <c r="E179" i="15"/>
  <c r="E180" i="15"/>
  <c r="E181" i="15"/>
  <c r="E182" i="15"/>
  <c r="S10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3" i="18" l="1"/>
  <c r="X103" i="18" s="1"/>
  <c r="J176" i="20"/>
  <c r="G175" i="20"/>
  <c r="I176" i="20"/>
  <c r="K176" i="20"/>
  <c r="D135" i="20"/>
  <c r="D134" i="20"/>
  <c r="W10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4" i="18" l="1"/>
  <c r="X104" i="18" s="1"/>
  <c r="S105" i="18"/>
  <c r="S106" i="18" s="1"/>
  <c r="G170" i="20"/>
  <c r="K171" i="20"/>
  <c r="I171" i="20"/>
  <c r="J171" i="20"/>
  <c r="F166" i="15"/>
  <c r="F165" i="15"/>
  <c r="F164" i="15"/>
  <c r="F163" i="15"/>
  <c r="F162" i="15"/>
  <c r="F161" i="15"/>
  <c r="F160" i="15"/>
  <c r="F159" i="15"/>
  <c r="F158" i="15"/>
  <c r="S107" i="18" l="1"/>
  <c r="S108" i="18" s="1"/>
  <c r="S109" i="18" s="1"/>
  <c r="W104" i="18"/>
  <c r="V105" i="18"/>
  <c r="I170" i="20"/>
  <c r="G169" i="20"/>
  <c r="J170" i="20"/>
  <c r="K170" i="20"/>
  <c r="D132" i="20"/>
  <c r="D131" i="20"/>
  <c r="V106" i="18" l="1"/>
  <c r="W105" i="18"/>
  <c r="X105" i="18"/>
  <c r="I169" i="20"/>
  <c r="K169" i="20"/>
  <c r="J169" i="20"/>
  <c r="G168" i="20"/>
  <c r="E3" i="18"/>
  <c r="D4" i="18"/>
  <c r="E100" i="18"/>
  <c r="N6" i="18" s="1"/>
  <c r="N10" i="18" s="1"/>
  <c r="V107" i="18" l="1"/>
  <c r="W106" i="18"/>
  <c r="X106" i="18"/>
  <c r="J168" i="20"/>
  <c r="K168" i="20"/>
  <c r="I168" i="20"/>
  <c r="G167" i="20"/>
  <c r="N11" i="18"/>
  <c r="G38" i="10"/>
  <c r="D129" i="20"/>
  <c r="W107" i="18" l="1"/>
  <c r="X10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08" i="18" l="1"/>
  <c r="G163" i="20"/>
  <c r="J164" i="20"/>
  <c r="K164" i="20"/>
  <c r="I164" i="20"/>
  <c r="D42" i="25"/>
  <c r="W108" i="18" l="1"/>
  <c r="X10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0" i="18" l="1"/>
  <c r="S111" i="18" s="1"/>
  <c r="I149" i="20"/>
  <c r="G148" i="20"/>
  <c r="J149" i="20"/>
  <c r="K149" i="20"/>
  <c r="V109" i="18" l="1"/>
  <c r="W109" i="18" s="1"/>
  <c r="G147" i="20"/>
  <c r="J148" i="20"/>
  <c r="K148" i="20"/>
  <c r="I148" i="20"/>
  <c r="H120" i="20"/>
  <c r="X109"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0" i="18" l="1"/>
  <c r="I145" i="20"/>
  <c r="G144" i="20"/>
  <c r="K145" i="20"/>
  <c r="J145" i="20"/>
  <c r="G30" i="10"/>
  <c r="G31" i="10"/>
  <c r="G33" i="10"/>
  <c r="G34" i="10"/>
  <c r="G35" i="10"/>
  <c r="G29" i="10"/>
  <c r="W110" i="18" l="1"/>
  <c r="X110" i="18"/>
  <c r="G143" i="20"/>
  <c r="J144" i="20"/>
  <c r="K144" i="20"/>
  <c r="I144" i="20"/>
  <c r="H119" i="20"/>
  <c r="H118" i="20"/>
  <c r="S112" i="18" l="1"/>
  <c r="K143" i="20"/>
  <c r="I143" i="20"/>
  <c r="J143" i="20"/>
  <c r="G142" i="20"/>
  <c r="G63" i="13"/>
  <c r="F52" i="13"/>
  <c r="V111"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3" i="18" l="1"/>
  <c r="V112" i="18"/>
  <c r="W111" i="18"/>
  <c r="X111" i="18"/>
  <c r="G140" i="20"/>
  <c r="I141" i="20"/>
  <c r="J141" i="20"/>
  <c r="K141" i="20"/>
  <c r="G61" i="13"/>
  <c r="W112" i="18" l="1"/>
  <c r="X112" i="18"/>
  <c r="S114" i="18"/>
  <c r="S115" i="18" s="1"/>
  <c r="V113" i="18"/>
  <c r="G139" i="20"/>
  <c r="K140" i="20"/>
  <c r="J140" i="20"/>
  <c r="I140" i="20"/>
  <c r="G60" i="13"/>
  <c r="W113" i="18" l="1"/>
  <c r="X113" i="18"/>
  <c r="V114" i="18"/>
  <c r="G138" i="20"/>
  <c r="K139" i="20"/>
  <c r="I139" i="20"/>
  <c r="J139" i="20"/>
  <c r="G59" i="13"/>
  <c r="F47" i="13"/>
  <c r="F48" i="13"/>
  <c r="F49" i="13"/>
  <c r="F50" i="13"/>
  <c r="F51" i="13"/>
  <c r="F53" i="13"/>
  <c r="F54" i="13"/>
  <c r="F55" i="13"/>
  <c r="D44" i="21"/>
  <c r="H116" i="20"/>
  <c r="X114" i="18" l="1"/>
  <c r="W114" i="18"/>
  <c r="G137" i="20"/>
  <c r="K138" i="20"/>
  <c r="J138" i="20"/>
  <c r="I138" i="20"/>
  <c r="G57" i="13"/>
  <c r="G58" i="13"/>
  <c r="S116" i="18" l="1"/>
  <c r="S117" i="18" s="1"/>
  <c r="S118" i="18" s="1"/>
  <c r="G136" i="20"/>
  <c r="K137" i="20"/>
  <c r="I137" i="20"/>
  <c r="J137" i="20"/>
  <c r="G56" i="13"/>
  <c r="H115" i="20"/>
  <c r="F42" i="13"/>
  <c r="F43" i="13"/>
  <c r="F44" i="13"/>
  <c r="F45" i="13"/>
  <c r="F46" i="13"/>
  <c r="F41" i="13"/>
  <c r="F40" i="13"/>
  <c r="V115" i="18" l="1"/>
  <c r="K136" i="20"/>
  <c r="J136" i="20"/>
  <c r="I136" i="20"/>
  <c r="G135" i="20"/>
  <c r="G55" i="13"/>
  <c r="W115" i="18" l="1"/>
  <c r="X115" i="18"/>
  <c r="G134" i="20"/>
  <c r="J135" i="20"/>
  <c r="K135" i="20"/>
  <c r="I135" i="20"/>
  <c r="G54" i="13"/>
  <c r="F39" i="13"/>
  <c r="V116" i="18" l="1"/>
  <c r="X116"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16"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17" i="18" l="1"/>
  <c r="W117" i="18" s="1"/>
  <c r="G131" i="20"/>
  <c r="I132" i="20"/>
  <c r="J132" i="20"/>
  <c r="K132" i="20"/>
  <c r="E51" i="13"/>
  <c r="G52" i="13"/>
  <c r="F124" i="15"/>
  <c r="F122" i="15"/>
  <c r="F121" i="15"/>
  <c r="X117"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S119" i="18" l="1"/>
  <c r="S120" i="18" s="1"/>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18"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19" i="18" l="1"/>
  <c r="W119" i="18" s="1"/>
  <c r="W118" i="18"/>
  <c r="X118" i="18"/>
  <c r="G110" i="20"/>
  <c r="I111" i="20"/>
  <c r="J111" i="20"/>
  <c r="K111" i="20"/>
  <c r="E30" i="13"/>
  <c r="G31" i="13"/>
  <c r="F105" i="15"/>
  <c r="E4" i="18"/>
  <c r="C23" i="18"/>
  <c r="E16" i="14"/>
  <c r="G17" i="14"/>
  <c r="D65" i="9"/>
  <c r="X119"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1"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1" i="18" l="1"/>
  <c r="X121" i="18" s="1"/>
  <c r="S122" i="18"/>
  <c r="V120" i="18"/>
  <c r="G103" i="20"/>
  <c r="K104" i="20"/>
  <c r="J104" i="20"/>
  <c r="I104" i="20"/>
  <c r="E11" i="18"/>
  <c r="G10" i="18"/>
  <c r="E23" i="13"/>
  <c r="G24" i="13"/>
  <c r="F98" i="15"/>
  <c r="C30" i="18"/>
  <c r="G10" i="14"/>
  <c r="E9" i="14"/>
  <c r="G13" i="6"/>
  <c r="H16" i="6"/>
  <c r="G16" i="6"/>
  <c r="W121" i="18" l="1"/>
  <c r="V122" i="18"/>
  <c r="X122" i="18" s="1"/>
  <c r="S123" i="18"/>
  <c r="W120" i="18"/>
  <c r="X120"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22" i="18" l="1"/>
  <c r="S124" i="18"/>
  <c r="V123" i="18"/>
  <c r="G101" i="20"/>
  <c r="I102" i="20"/>
  <c r="J102" i="20"/>
  <c r="K102" i="20"/>
  <c r="E13" i="18"/>
  <c r="G12" i="18"/>
  <c r="E21" i="13"/>
  <c r="G22" i="13"/>
  <c r="F96" i="15"/>
  <c r="C32" i="18"/>
  <c r="E7" i="14"/>
  <c r="G8" i="14"/>
  <c r="I5" i="6"/>
  <c r="W123" i="18" l="1"/>
  <c r="X123" i="18"/>
  <c r="S125" i="18"/>
  <c r="V124"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25" i="18" l="1"/>
  <c r="W125" i="18" s="1"/>
  <c r="S126" i="18"/>
  <c r="W124" i="18"/>
  <c r="X124" i="18"/>
  <c r="X125"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26" i="18" l="1"/>
  <c r="W126" i="18" s="1"/>
  <c r="S127" i="18"/>
  <c r="V127" i="18" s="1"/>
  <c r="G98" i="20"/>
  <c r="K99" i="20"/>
  <c r="I99" i="20"/>
  <c r="J99" i="20"/>
  <c r="E18" i="18"/>
  <c r="G17" i="18"/>
  <c r="E18" i="13"/>
  <c r="G19" i="13"/>
  <c r="F93" i="15"/>
  <c r="C35" i="18"/>
  <c r="E4" i="14"/>
  <c r="G5" i="14"/>
  <c r="H21" i="5"/>
  <c r="G21" i="5"/>
  <c r="G2" i="4"/>
  <c r="D2" i="4"/>
  <c r="B29" i="4" s="1"/>
  <c r="G3" i="3"/>
  <c r="D24" i="5"/>
  <c r="B21" i="4"/>
  <c r="B2" i="2" s="1"/>
  <c r="I6" i="5"/>
  <c r="I21" i="5" s="1"/>
  <c r="G3" i="4"/>
  <c r="X126" i="18" l="1"/>
  <c r="W127" i="18"/>
  <c r="X127" i="18"/>
  <c r="S128" i="18"/>
  <c r="S129"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28"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28" i="18" l="1"/>
  <c r="X128"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29" i="18" l="1"/>
  <c r="W129" i="18" s="1"/>
  <c r="S130" i="18"/>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29" i="18" l="1"/>
  <c r="S131" i="18"/>
  <c r="V130" i="18"/>
  <c r="G89" i="20"/>
  <c r="J90" i="20"/>
  <c r="I90" i="20"/>
  <c r="K90" i="20"/>
  <c r="B25" i="21"/>
  <c r="B2" i="22" s="1"/>
  <c r="G2" i="21"/>
  <c r="G26" i="21" s="1"/>
  <c r="G31" i="21" s="1"/>
  <c r="G10" i="13"/>
  <c r="E9" i="13"/>
  <c r="F84" i="15"/>
  <c r="D24" i="11"/>
  <c r="I2" i="11"/>
  <c r="C24" i="12"/>
  <c r="C2" i="17" s="1"/>
  <c r="H2" i="12"/>
  <c r="H25" i="12" s="1"/>
  <c r="H30" i="12" s="1"/>
  <c r="D2" i="12"/>
  <c r="C44" i="18"/>
  <c r="E43" i="18"/>
  <c r="V131" i="18" l="1"/>
  <c r="W131" i="18" s="1"/>
  <c r="S132" i="18"/>
  <c r="W130" i="18"/>
  <c r="X130" i="18"/>
  <c r="X131" i="18"/>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S133" i="18" l="1"/>
  <c r="V132" i="18"/>
  <c r="G87" i="20"/>
  <c r="J88" i="20"/>
  <c r="K88" i="20"/>
  <c r="I88" i="20"/>
  <c r="B24" i="23"/>
  <c r="B2" i="24" s="1"/>
  <c r="G2" i="23"/>
  <c r="G25" i="23" s="1"/>
  <c r="G8" i="13"/>
  <c r="E7" i="13"/>
  <c r="F82" i="15"/>
  <c r="I2" i="17"/>
  <c r="I25" i="17" s="1"/>
  <c r="I30" i="17" s="1"/>
  <c r="D24" i="17"/>
  <c r="H2" i="19"/>
  <c r="H25" i="19" s="1"/>
  <c r="H30" i="19" s="1"/>
  <c r="C24" i="19"/>
  <c r="C2" i="21" s="1"/>
  <c r="D2" i="19"/>
  <c r="E45" i="18"/>
  <c r="C46" i="18"/>
  <c r="V133" i="18" l="1"/>
  <c r="S134" i="18"/>
  <c r="V134" i="18" s="1"/>
  <c r="X132" i="18"/>
  <c r="W132" i="18"/>
  <c r="W133" i="18"/>
  <c r="X133" i="18"/>
  <c r="B24" i="24"/>
  <c r="B2" i="25" s="1"/>
  <c r="G2" i="24"/>
  <c r="G25" i="24" s="1"/>
  <c r="G86" i="20"/>
  <c r="K87" i="20"/>
  <c r="J87" i="20"/>
  <c r="I87" i="20"/>
  <c r="H2" i="21"/>
  <c r="H26" i="21" s="1"/>
  <c r="H31" i="21" s="1"/>
  <c r="C25" i="21"/>
  <c r="C2" i="22" s="1"/>
  <c r="D2" i="21"/>
  <c r="G7" i="13"/>
  <c r="E6" i="13"/>
  <c r="F81" i="15"/>
  <c r="I2" i="19"/>
  <c r="D24" i="19"/>
  <c r="E46" i="18"/>
  <c r="C47" i="18"/>
  <c r="W134" i="18" l="1"/>
  <c r="X134" i="18"/>
  <c r="B24" i="25"/>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<sst xmlns="http://schemas.openxmlformats.org/spreadsheetml/2006/main" count="14192" uniqueCount="5729">
  <si>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</si>
  <si>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</si>
  <si>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</si>
  <si>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</si>
  <si>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</si>
  <si>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</si>
  <si>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</si>
  <si>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</si>
  <si>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</si>
  <si>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</si>
  <si>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</si>
  <si>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</si>
  <si>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</si>
  <si>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</si>
  <si>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</si>
  <si>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</si>
  <si>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</si>
  <si>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</si>
  <si>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</si>
  <si>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</si>
  <si>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</si>
  <si>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</si>
  <si>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</si>
  <si>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</si>
  <si>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</si>
  <si>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</si>
  <si>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</si>
  <si>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</si>
  <si>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</si>
  <si>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</si>
  <si>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</si>
  <si>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</si>
  <si>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</si>
  <si>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</si>
  <si>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</si>
  <si>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</si>
  <si>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</si>
  <si>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</si>
  <si>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</si>
  <si>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</si>
  <si>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</si>
  <si>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</si>
  <si>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</si>
  <si>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</si>
  <si>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</si>
  <si>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</si>
  <si>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</si>
  <si>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</si>
  <si>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</si>
  <si>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</si>
  <si>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</si>
  <si>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</si>
  <si>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</si>
  <si>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</si>
  <si>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</si>
  <si>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</si>
  <si>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</si>
  <si>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</si>
  <si>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</si>
  <si>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</si>
  <si>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</si>
  <si>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</si>
  <si>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</si>
  <si>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</si>
  <si>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</si>
  <si>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</si>
  <si>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</si>
  <si>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</si>
  <si>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</si>
  <si>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</si>
  <si>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</si>
  <si>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</si>
  <si>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</si>
  <si>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</si>
  <si>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</si>
  <si>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</si>
  <si>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</si>
  <si>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</si>
  <si>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</si>
  <si>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</si>
  <si>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</si>
  <si>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</si>
  <si>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</si>
  <si>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</si>
  <si>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</si>
  <si>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</si>
  <si>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</si>
  <si>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</si>
  <si>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</si>
  <si>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</si>
  <si>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</si>
  <si>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</si>
  <si>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</si>
  <si>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</si>
  <si>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</si>
  <si>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</si>
  <si>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</si>
  <si>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</si>
  <si>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</si>
  <si>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</si>
  <si>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</si>
  <si>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</si>
  <si>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</si>
  <si>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</si>
  <si>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</si>
  <si>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</si>
  <si>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</si>
  <si>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</si>
  <si>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</si>
  <si>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</si>
  <si>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</si>
  <si>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</si>
  <si>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</si>
  <si>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</si>
  <si>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</si>
  <si>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</si>
  <si>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</si>
  <si>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</si>
  <si>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</si>
  <si>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</si>
  <si>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</si>
  <si>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</si>
  <si>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</si>
  <si>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</si>
  <si>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</si>
  <si>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</si>
  <si>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</si>
  <si>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</si>
  <si>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</si>
  <si>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</si>
  <si>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</si>
  <si>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</si>
  <si>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</si>
  <si>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</si>
  <si>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</si>
  <si>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</si>
  <si>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</si>
  <si>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</si>
  <si>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</si>
  <si>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</si>
  <si>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</si>
  <si>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</si>
  <si>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</si>
  <si>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</si>
  <si>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</si>
  <si>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</si>
  <si>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</si>
  <si>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</si>
  <si>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</si>
  <si>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</si>
  <si>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</si>
  <si>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</si>
  <si>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</si>
  <si>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</si>
  <si>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</si>
  <si>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</si>
  <si>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</si>
  <si>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</si>
  <si>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</si>
  <si>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</si>
  <si>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</si>
  <si>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</si>
  <si>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</si>
  <si>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</si>
  <si>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</si>
  <si>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</si>
  <si>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</si>
  <si>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</si>
  <si>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</si>
  <si>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</si>
  <si>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</si>
  <si>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</si>
  <si>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</si>
  <si>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</si>
  <si>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</si>
  <si>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</si>
  <si>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</si>
  <si>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</si>
  <si>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</si>
  <si>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</si>
  <si>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</si>
  <si>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</si>
  <si>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</si>
  <si>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</si>
  <si>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</si>
  <si>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</si>
  <si>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</si>
  <si>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</si>
  <si>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</si>
  <si>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</si>
  <si>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</si>
  <si>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</si>
  <si>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</si>
  <si>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</si>
  <si>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</si>
  <si>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</si>
  <si>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</si>
  <si>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</si>
  <si>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</si>
  <si>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</si>
  <si>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</si>
  <si>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</si>
  <si>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</si>
  <si>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</si>
  <si>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</si>
  <si>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</si>
  <si>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</si>
  <si>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</si>
  <si>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</si>
  <si>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</si>
  <si>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</si>
  <si>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</si>
  <si>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</si>
  <si>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</si>
  <si>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</si>
  <si>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</si>
  <si>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</si>
  <si>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</si>
  <si>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</si>
  <si>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</si>
  <si>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</si>
  <si>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</si>
  <si>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</si>
  <si>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</si>
  <si>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</si>
  <si>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</si>
  <si>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</si>
  <si>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</si>
  <si>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</si>
  <si>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</si>
  <si>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</si>
  <si>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</si>
  <si>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</si>
  <si>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</si>
  <si>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</si>
  <si>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</si>
  <si>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</si>
  <si>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</si>
  <si>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</si>
  <si>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</si>
  <si>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</si>
  <si>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</si>
  <si>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</si>
  <si>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</si>
  <si>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</si>
  <si>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</si>
  <si>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</si>
  <si>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</si>
  <si>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</si>
  <si>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</si>
  <si>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</si>
  <si>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</si>
  <si>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</si>
  <si>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</si>
  <si>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</si>
  <si>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</si>
  <si>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</si>
  <si>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</si>
  <si>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</si>
  <si>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</si>
  <si>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</si>
  <si>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</si>
  <si>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</si>
  <si>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</si>
  <si>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</si>
  <si>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</si>
  <si>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</si>
  <si>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</si>
  <si>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</si>
  <si>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</si>
  <si>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</si>
  <si>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</si>
  <si>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</si>
  <si>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</si>
  <si>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</si>
  <si>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</si>
  <si>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</si>
  <si>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</si>
  <si>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</si>
  <si>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</si>
  <si>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</si>
  <si>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</si>
  <si>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</si>
  <si>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</si>
  <si>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</si>
  <si>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</si>
  <si>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</si>
  <si>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</si>
  <si>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</si>
  <si>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</si>
  <si>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</si>
  <si>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</si>
  <si>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</si>
  <si>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</si>
  <si>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</si>
  <si>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</si>
  <si>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</si>
  <si>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</si>
  <si>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</si>
  <si>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</si>
  <si>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</si>
  <si>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</si>
  <si>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</si>
  <si>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</si>
  <si>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</si>
  <si>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</si>
  <si>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</si>
  <si>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</si>
  <si>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</si>
  <si>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</si>
  <si>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</si>
  <si>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</si>
  <si>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</si>
  <si>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</si>
  <si>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</si>
  <si>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</si>
  <si>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</si>
  <si>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</si>
  <si>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</si>
  <si>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</si>
  <si>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</si>
  <si>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</si>
  <si>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</si>
  <si>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</si>
  <si>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</si>
  <si>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</si>
  <si>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</si>
  <si>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</si>
  <si>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</si>
  <si>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</si>
  <si>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</si>
  <si>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</si>
  <si>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</si>
  <si>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</si>
  <si>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</si>
  <si>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</si>
  <si>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</si>
  <si>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</si>
  <si>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</si>
  <si>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</si>
  <si>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</si>
  <si>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</si>
  <si>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</si>
  <si>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</si>
  <si>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</si>
  <si>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</si>
  <si>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</si>
  <si>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</si>
  <si>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</si>
  <si>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</si>
  <si>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</si>
  <si>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</si>
  <si>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</si>
  <si>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</si>
  <si>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</si>
  <si>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</si>
  <si>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</si>
  <si>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</si>
  <si>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</si>
  <si>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</si>
  <si>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</si>
  <si>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</si>
  <si>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</si>
  <si>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</si>
  <si>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</si>
  <si>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</si>
  <si>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</si>
  <si>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</si>
  <si>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</si>
  <si>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</si>
  <si>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</si>
  <si>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</si>
  <si>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</si>
  <si>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</si>
  <si>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</si>
  <si>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</si>
  <si>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</si>
  <si>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</si>
  <si>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</si>
  <si>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</si>
  <si>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</si>
  <si>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</si>
  <si>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</si>
  <si>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</si>
  <si>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</si>
  <si>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</si>
  <si>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</si>
  <si>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</si>
  <si>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</si>
  <si>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</si>
  <si>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</si>
  <si>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</si>
  <si>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</si>
  <si>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</si>
  <si>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</si>
  <si>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</si>
  <si>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</si>
  <si>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</si>
  <si>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</si>
  <si>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</si>
  <si>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</si>
  <si>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</si>
  <si>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</si>
  <si>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</si>
  <si>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</si>
  <si>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</si>
  <si>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</si>
  <si>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</si>
  <si>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</si>
  <si>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</si>
  <si>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</si>
  <si>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</si>
  <si>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</si>
  <si>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</si>
  <si>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</si>
  <si>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</si>
  <si>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</si>
  <si>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</si>
  <si>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</si>
  <si>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</si>
  <si>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</si>
  <si>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</si>
  <si>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</si>
  <si>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</si>
  <si>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</si>
  <si>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</si>
  <si>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</si>
  <si>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</si>
  <si>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</si>
  <si>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</si>
  <si>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</si>
  <si>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</si>
  <si>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</si>
  <si>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</si>
  <si>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</si>
  <si>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</si>
  <si>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</si>
  <si>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</si>
  <si>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</si>
  <si>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</si>
  <si>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</si>
  <si>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</si>
  <si>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</si>
  <si>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</si>
  <si>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</si>
  <si>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</si>
  <si>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</si>
  <si>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</si>
  <si>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</si>
  <si>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</si>
  <si>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</si>
  <si>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</si>
  <si>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</si>
  <si>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</si>
  <si>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</si>
  <si>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</si>
  <si>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</si>
  <si>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</si>
  <si>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</si>
  <si>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</si>
  <si>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</si>
  <si>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</si>
  <si>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</si>
  <si>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</si>
  <si>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</si>
  <si>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</si>
  <si>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</si>
  <si>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</si>
  <si>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</si>
  <si>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</si>
  <si>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</si>
  <si>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</si>
  <si>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</si>
  <si>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</si>
  <si>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</si>
  <si>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</si>
  <si>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</si>
  <si>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</si>
  <si>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</si>
  <si>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</si>
  <si>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</si>
  <si>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</si>
  <si>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</si>
  <si>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</si>
  <si>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</si>
  <si>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</si>
  <si>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</si>
  <si>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</si>
  <si>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</si>
  <si>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</si>
  <si>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</si>
  <si>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</si>
  <si>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</si>
  <si>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</si>
  <si>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</si>
  <si>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</si>
  <si>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</si>
  <si>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</si>
  <si>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</si>
  <si>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</si>
  <si>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</si>
  <si>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</si>
  <si>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</si>
  <si>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</si>
  <si>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</si>
  <si>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</si>
  <si>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</si>
  <si>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</si>
  <si>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</si>
  <si>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</si>
  <si>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</si>
  <si>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</si>
  <si>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</si>
  <si>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</si>
  <si>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</si>
  <si>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</si>
  <si>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</si>
  <si>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</si>
  <si>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</si>
  <si>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</si>
  <si>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</si>
  <si>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</si>
  <si>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</si>
  <si>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</si>
  <si>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</si>
  <si>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</si>
  <si>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</si>
  <si>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</si>
  <si>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</si>
  <si>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</si>
  <si>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</si>
  <si>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</si>
  <si>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</si>
  <si>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</si>
  <si>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</si>
  <si>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</si>
  <si>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</si>
  <si>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</si>
  <si>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</si>
  <si>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</si>
  <si>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</si>
  <si>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</si>
  <si>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</si>
  <si>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</si>
  <si>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</si>
  <si>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</si>
  <si>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</si>
  <si>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</si>
  <si>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</si>
  <si>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</si>
  <si>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</si>
  <si>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</si>
  <si>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</si>
  <si>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</si>
  <si>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</si>
  <si>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</si>
  <si>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</si>
  <si>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</si>
  <si>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</si>
  <si>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</si>
  <si>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</si>
  <si>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</si>
  <si>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</si>
  <si>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</si>
  <si>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</si>
  <si>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</si>
  <si>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</si>
  <si>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</si>
  <si>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</si>
  <si>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</si>
  <si>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</si>
  <si>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</si>
  <si>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</si>
  <si>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</si>
  <si>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</si>
  <si>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</si>
  <si>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</si>
  <si>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</si>
  <si>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</si>
  <si>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</si>
  <si>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</si>
  <si>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</si>
  <si>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</si>
  <si>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</si>
  <si>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</si>
  <si>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</si>
  <si>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</si>
  <si>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</si>
  <si>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</si>
  <si>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</si>
  <si>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</si>
  <si>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</si>
  <si>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</si>
  <si>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</si>
  <si>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</si>
  <si>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</si>
  <si>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</si>
  <si>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</si>
  <si>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</si>
  <si>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</si>
  <si>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</si>
  <si>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</si>
  <si>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</si>
  <si>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</si>
  <si>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</si>
  <si>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</si>
  <si>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</si>
  <si>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</si>
  <si>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</si>
  <si>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</si>
  <si>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</si>
  <si>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</si>
  <si>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</si>
  <si>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</si>
  <si>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</si>
  <si>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</si>
  <si>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</si>
  <si>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</si>
  <si>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</si>
  <si>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</si>
  <si>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</si>
  <si>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</si>
  <si>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</si>
  <si>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</si>
  <si>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</si>
  <si>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</si>
  <si>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</si>
  <si>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</si>
  <si>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</si>
  <si>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</si>
  <si>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</si>
  <si>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</si>
  <si>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</si>
  <si>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</si>
  <si>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</si>
  <si>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</si>
  <si>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</si>
  <si>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</si>
  <si>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</si>
  <si>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</si>
  <si>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</si>
  <si>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</si>
  <si>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</si>
  <si>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</si>
  <si>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</si>
  <si>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</si>
  <si>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</si>
  <si>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</si>
  <si>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</si>
  <si>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</si>
  <si>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</si>
  <si>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</si>
  <si>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</si>
  <si>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</si>
  <si>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</si>
  <si>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</si>
  <si>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</si>
  <si>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</si>
  <si>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</si>
  <si>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</si>
  <si>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</si>
  <si>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</si>
  <si>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</si>
  <si>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</si>
  <si>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</si>
  <si>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</si>
  <si>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</si>
  <si>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</si>
  <si>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</si>
  <si>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</si>
  <si>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</si>
  <si>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</si>
  <si>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</si>
  <si>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</si>
  <si>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</si>
  <si>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</si>
  <si>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</si>
  <si>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</si>
  <si>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</si>
  <si>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</si>
  <si>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</si>
  <si>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</si>
  <si>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</si>
  <si>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</si>
  <si>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</si>
  <si>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</si>
  <si>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</si>
  <si>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</si>
  <si>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</si>
  <si>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</si>
  <si>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</si>
  <si>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</si>
  <si>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</si>
  <si>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</si>
  <si>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</si>
  <si>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</si>
  <si>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</si>
  <si>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</si>
  <si>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</si>
  <si>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</si>
  <si>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</si>
  <si>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</si>
  <si>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</si>
  <si>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</si>
  <si>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</si>
  <si>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</si>
  <si>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</si>
  <si>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</si>
  <si>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</si>
  <si>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</si>
  <si>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</si>
  <si>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</si>
  <si>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</si>
  <si>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</si>
  <si>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</si>
  <si>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</si>
  <si>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</si>
  <si>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</si>
  <si>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</si>
  <si>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</si>
  <si>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</si>
  <si>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</si>
  <si>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</si>
  <si>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</si>
  <si>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</si>
  <si>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</si>
  <si>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</si>
  <si>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</si>
  <si>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</si>
  <si>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</si>
  <si>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</si>
  <si>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</si>
  <si>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</si>
  <si>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</si>
  <si>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</si>
  <si>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</si>
  <si>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</si>
  <si>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</si>
  <si>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</si>
  <si>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</si>
  <si>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</si>
  <si>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</si>
  <si>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</si>
  <si>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</si>
  <si>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</si>
  <si>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</si>
  <si>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</si>
  <si>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</si>
  <si>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</si>
  <si>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</si>
  <si>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</si>
  <si>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</si>
  <si>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</si>
  <si>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</si>
  <si>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</si>
  <si>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</si>
  <si>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</si>
  <si>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</si>
  <si>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</si>
  <si>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</si>
  <si>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</si>
  <si>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</si>
  <si>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</si>
  <si>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</si>
  <si>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</si>
  <si>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</si>
  <si>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</si>
  <si>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</si>
  <si>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</si>
  <si>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</si>
  <si>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</si>
  <si>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</si>
  <si>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</si>
  <si>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</si>
  <si>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</si>
  <si>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</si>
  <si>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</si>
  <si>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</si>
  <si>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</si>
  <si>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</si>
  <si>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</si>
  <si>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</si>
  <si>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</si>
  <si>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</si>
  <si>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</si>
  <si>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</si>
  <si>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</si>
  <si>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</si>
  <si>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</si>
  <si>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</si>
  <si>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</si>
  <si>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</si>
  <si>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</si>
  <si>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</si>
  <si>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</si>
  <si>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</si>
  <si>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</si>
  <si>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</si>
  <si>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</si>
  <si>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</si>
  <si>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</si>
  <si>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</si>
  <si>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</si>
  <si>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</si>
  <si>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</si>
  <si>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</si>
  <si>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</si>
  <si>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</si>
  <si>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</si>
  <si>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</si>
  <si>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</si>
  <si>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</si>
  <si>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</si>
  <si>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</si>
  <si>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</si>
  <si>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</si>
  <si>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</si>
  <si>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</si>
  <si>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</si>
  <si>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</si>
  <si>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</si>
  <si>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</si>
  <si>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</si>
  <si>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</si>
  <si>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</si>
  <si>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</si>
  <si>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</si>
  <si>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</si>
  <si>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</si>
  <si>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</si>
  <si>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</si>
  <si>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</si>
  <si>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</si>
  <si>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</si>
  <si>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</si>
  <si>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</si>
  <si>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</si>
  <si>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</si>
  <si>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</si>
  <si>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</si>
  <si>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</si>
  <si>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</si>
  <si>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</si>
  <si>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</si>
  <si>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</si>
  <si>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</si>
  <si>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</si>
  <si>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</si>
  <si>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</si>
  <si>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</si>
  <si>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</si>
  <si>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</si>
  <si>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</si>
  <si>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</si>
  <si>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</si>
  <si>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</si>
  <si>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</si>
  <si>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</si>
  <si>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</si>
  <si>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</si>
  <si>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</si>
  <si>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</si>
  <si>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</si>
  <si>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</si>
  <si>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</si>
  <si>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</si>
  <si>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</si>
  <si>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</si>
  <si>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</si>
  <si>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</si>
  <si>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</si>
  <si>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</si>
  <si>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</si>
  <si>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</si>
  <si>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</si>
  <si>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</si>
  <si>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</si>
  <si>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</si>
  <si>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</si>
  <si>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</si>
  <si>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</si>
  <si>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</si>
  <si>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</si>
  <si>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</si>
  <si>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</si>
  <si>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</si>
  <si>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</si>
  <si>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</si>
  <si>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</si>
  <si>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</si>
  <si>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</si>
  <si>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</si>
  <si>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</si>
  <si>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</si>
  <si>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</si>
  <si>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</si>
  <si>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</si>
  <si>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</si>
  <si>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</si>
  <si>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</si>
  <si>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</si>
  <si>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</si>
  <si>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</si>
  <si>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</si>
  <si>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</si>
  <si>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</si>
  <si>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</si>
  <si>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</si>
  <si>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</si>
  <si>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</si>
  <si>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</si>
  <si>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</si>
  <si>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</si>
  <si>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</si>
  <si>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</si>
  <si>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</si>
  <si>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</si>
  <si>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</si>
  <si>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</si>
  <si>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</si>
  <si>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</si>
  <si>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</si>
  <si>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</si>
  <si>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</si>
  <si>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</si>
  <si>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</si>
  <si>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</si>
  <si>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</si>
  <si>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</si>
  <si>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</si>
  <si>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</si>
  <si>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</si>
  <si>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</si>
  <si>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</si>
  <si>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</si>
  <si>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</si>
  <si>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</si>
  <si>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</si>
  <si>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</si>
  <si>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</si>
  <si>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</si>
  <si>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</si>
  <si>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</si>
  <si>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</si>
  <si>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</si>
  <si>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</si>
  <si>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</si>
  <si>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</si>
  <si>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</si>
  <si>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</si>
  <si>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</si>
  <si>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</si>
  <si>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</si>
  <si>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</si>
  <si>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</si>
  <si>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</si>
  <si>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</si>
  <si>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</si>
  <si>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</si>
  <si>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</si>
  <si>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</si>
  <si>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</si>
  <si>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</si>
  <si>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</si>
  <si>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</si>
  <si>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</si>
  <si>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</si>
  <si>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</si>
  <si>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</si>
  <si>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</si>
  <si>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</si>
  <si>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</si>
  <si>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</si>
  <si>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</si>
  <si>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</si>
  <si>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</si>
  <si>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</si>
  <si>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</si>
  <si>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</si>
  <si>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</si>
  <si>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</si>
  <si>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</si>
  <si>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</si>
  <si>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</si>
  <si>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</si>
  <si>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</si>
  <si>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</si>
  <si>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</si>
  <si>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</si>
  <si>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</si>
  <si>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</si>
  <si>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</si>
  <si>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</si>
  <si>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</si>
  <si>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</si>
  <si>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</si>
  <si>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</si>
  <si>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</si>
  <si>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</si>
  <si>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</si>
  <si>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</si>
  <si>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</si>
  <si>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</si>
  <si>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</si>
  <si>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</si>
  <si>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</si>
  <si>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</si>
  <si>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</si>
  <si>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</si>
  <si>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</si>
  <si>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</si>
  <si>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</si>
  <si>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</si>
  <si>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</si>
  <si>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</si>
  <si>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</si>
  <si>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</si>
  <si>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</si>
  <si>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</si>
  <si>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</si>
  <si>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</si>
  <si>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</si>
  <si>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</si>
  <si>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</si>
  <si>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</si>
  <si>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</si>
  <si>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</si>
  <si>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</si>
  <si>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</si>
  <si>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</si>
  <si>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</si>
  <si>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</si>
  <si>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</si>
  <si>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</si>
  <si>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</si>
  <si>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</si>
  <si>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</si>
  <si>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</si>
  <si>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</si>
  <si>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</si>
  <si>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</si>
  <si>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</si>
  <si>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</si>
  <si>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</si>
  <si>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</si>
  <si>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</si>
  <si>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</si>
  <si>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</si>
  <si>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</si>
  <si>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</si>
  <si>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</si>
  <si>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</si>
  <si>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</si>
  <si>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</si>
  <si>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</si>
  <si>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</si>
  <si>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</si>
  <si>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</si>
  <si>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</si>
  <si>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</si>
  <si>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</si>
  <si>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</si>
  <si>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</si>
  <si>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</si>
  <si>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</si>
  <si>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</si>
  <si>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</si>
  <si>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</si>
  <si>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</si>
  <si>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</si>
  <si>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</si>
  <si>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</si>
  <si>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</si>
  <si>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</si>
  <si>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</si>
  <si>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</si>
  <si>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</si>
  <si>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</si>
  <si>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</si>
  <si>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</si>
  <si>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</si>
  <si>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</si>
  <si>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</si>
  <si>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</si>
  <si>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</si>
  <si>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</si>
  <si>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</si>
  <si>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</si>
  <si>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</si>
  <si>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</si>
  <si>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</si>
  <si>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</si>
  <si>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</si>
  <si>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</si>
  <si>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</si>
  <si>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</si>
  <si>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</si>
  <si>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</si>
  <si>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</si>
  <si>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</si>
  <si>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</si>
  <si>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</si>
  <si>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</si>
  <si>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</si>
  <si>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</si>
  <si>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</si>
  <si>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</si>
  <si>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</si>
  <si>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</si>
  <si>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</si>
  <si>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</si>
  <si>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</si>
  <si>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</si>
  <si>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</si>
  <si>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</si>
  <si>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</si>
  <si>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</si>
  <si>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</si>
  <si>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</si>
  <si>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</si>
  <si>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</si>
  <si>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</si>
  <si>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</si>
  <si>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</si>
  <si>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</si>
  <si>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</si>
  <si>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</si>
  <si>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</si>
  <si>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</si>
  <si>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</si>
  <si>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</si>
  <si>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</si>
  <si>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</si>
  <si>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</si>
  <si>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</si>
  <si>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</si>
  <si>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</si>
  <si>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</si>
  <si>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</si>
  <si>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</si>
  <si>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</si>
  <si>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</si>
  <si>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</si>
  <si>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</si>
  <si>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</si>
  <si>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</si>
  <si>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</si>
  <si>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</si>
  <si>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</si>
  <si>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</si>
  <si>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</si>
  <si>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</si>
  <si>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</si>
  <si>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</si>
  <si>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</si>
  <si>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</si>
  <si>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</si>
  <si>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</si>
  <si>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</si>
  <si>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</si>
  <si>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</si>
  <si>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</si>
  <si>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</si>
  <si>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</si>
  <si>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</si>
  <si>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</si>
  <si>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</si>
  <si>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</si>
  <si>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</si>
  <si>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</si>
  <si>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</si>
  <si>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</si>
  <si>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</si>
  <si>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</si>
  <si>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</si>
  <si>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</si>
  <si>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</si>
  <si>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</si>
  <si>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</si>
  <si>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</si>
  <si>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</si>
  <si>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</si>
  <si>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</si>
  <si>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</si>
  <si>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</si>
  <si>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</si>
  <si>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</si>
  <si>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</si>
  <si>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</si>
  <si>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</si>
  <si>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</si>
  <si>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</si>
  <si>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</si>
  <si>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</si>
  <si>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</si>
  <si>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</si>
  <si>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</si>
  <si>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</si>
  <si>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</si>
  <si>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</si>
  <si>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</si>
  <si>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</si>
  <si>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</si>
  <si>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</si>
  <si>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</si>
  <si>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</si>
  <si>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</si>
  <si>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</si>
  <si>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</si>
  <si>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</si>
  <si>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</si>
  <si>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</si>
  <si>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</si>
  <si>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</si>
  <si>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</si>
  <si>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</si>
  <si>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</si>
  <si>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</si>
  <si>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</si>
  <si>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</si>
  <si>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</si>
  <si>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</si>
  <si>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</si>
  <si>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</si>
  <si>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</si>
  <si>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</si>
  <si>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</si>
  <si>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</si>
  <si>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</si>
  <si>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</si>
  <si>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</si>
  <si>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</si>
  <si>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</si>
  <si>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</si>
  <si>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</si>
  <si>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</si>
  <si>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</si>
  <si>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</si>
  <si>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</si>
  <si>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</si>
  <si>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</si>
  <si>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</si>
  <si>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</si>
  <si>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</si>
  <si>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</si>
  <si>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</si>
  <si>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</si>
  <si>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</si>
  <si>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</si>
  <si>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</si>
  <si>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</si>
  <si>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</si>
  <si>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</si>
  <si>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</si>
  <si>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</si>
  <si>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</si>
  <si>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</si>
  <si>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</si>
  <si>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</si>
  <si>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</si>
  <si>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</si>
  <si>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</si>
  <si>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</si>
  <si>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</si>
  <si>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</si>
  <si>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</si>
  <si>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</si>
  <si>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</si>
  <si>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</si>
  <si>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</si>
  <si>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</si>
  <si>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</si>
  <si>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</si>
  <si>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</si>
  <si>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</si>
  <si>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</si>
  <si>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</si>
  <si>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</si>
  <si>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</si>
  <si>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</si>
  <si>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</si>
  <si>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</si>
  <si>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</si>
  <si>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</si>
  <si>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</si>
  <si>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</si>
  <si>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</si>
  <si>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</si>
  <si>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</si>
  <si>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</si>
  <si>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</si>
  <si>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</si>
  <si>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</si>
  <si>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</si>
  <si>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</si>
  <si>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</si>
  <si>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</si>
  <si>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</si>
  <si>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</si>
  <si>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</si>
  <si>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</si>
  <si>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</si>
  <si>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</si>
  <si>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</si>
  <si>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</si>
  <si>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</si>
  <si>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</si>
  <si>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</si>
  <si>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</si>
  <si>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</si>
  <si>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</si>
  <si>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</si>
  <si>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</si>
  <si>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</si>
  <si>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</si>
  <si>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</si>
  <si>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</si>
  <si>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</si>
  <si>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</si>
  <si>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</si>
  <si>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</si>
  <si>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</si>
  <si>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</si>
  <si>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</si>
  <si>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</si>
  <si>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</si>
  <si>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</si>
  <si>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</si>
  <si>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</si>
  <si>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</si>
  <si>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</si>
  <si>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</si>
  <si>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</si>
  <si>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</si>
  <si>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</si>
  <si>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</si>
  <si>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</si>
  <si>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</si>
  <si>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</si>
  <si>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</si>
  <si>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</si>
  <si>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</si>
  <si>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</si>
  <si>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</si>
  <si>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</si>
  <si>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</si>
  <si>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</si>
  <si>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</si>
  <si>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</si>
  <si>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</si>
  <si>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</si>
  <si>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</si>
  <si>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</si>
  <si>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</si>
  <si>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</si>
  <si>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</si>
  <si>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</si>
  <si>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</si>
  <si>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</si>
  <si>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</si>
  <si>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</si>
  <si>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</si>
  <si>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</si>
  <si>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</si>
  <si>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</si>
  <si>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</si>
  <si>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</si>
  <si>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</si>
  <si>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</si>
  <si>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</si>
  <si>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</si>
  <si>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</si>
  <si>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</si>
  <si>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</si>
  <si>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</si>
  <si>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</si>
  <si>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</si>
  <si>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</si>
  <si>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</si>
  <si>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</si>
  <si>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</si>
  <si>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</si>
  <si>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</si>
  <si>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</si>
  <si>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</si>
  <si>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</si>
  <si>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</si>
  <si>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</si>
  <si>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</si>
  <si>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</si>
  <si>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</si>
  <si>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</si>
  <si>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</si>
  <si>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</si>
  <si>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</si>
  <si>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</si>
  <si>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</si>
  <si>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</si>
  <si>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</si>
  <si>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</si>
  <si>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</si>
  <si>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</si>
  <si>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</si>
  <si>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</si>
  <si>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</si>
  <si>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</si>
  <si>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</si>
  <si>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</si>
  <si>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</si>
  <si>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</si>
  <si>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</si>
  <si>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</si>
  <si>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</si>
  <si>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</si>
  <si>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</si>
  <si>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</si>
  <si>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</si>
  <si>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</si>
  <si>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</si>
  <si>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</si>
  <si>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</si>
  <si>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</si>
  <si>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</si>
  <si>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</si>
  <si>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</si>
  <si>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</si>
  <si>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</si>
  <si>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</si>
  <si>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</si>
  <si>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</si>
  <si>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</si>
  <si>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</si>
  <si>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</si>
  <si>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</si>
  <si>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</si>
  <si>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</si>
  <si>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</si>
  <si>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</si>
  <si>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</si>
  <si>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</si>
  <si>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</si>
  <si>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</si>
  <si>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</si>
  <si>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</si>
  <si>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</si>
  <si>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</si>
  <si>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</si>
  <si>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</si>
  <si>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</si>
  <si>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</si>
  <si>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</si>
  <si>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</si>
  <si>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</si>
  <si>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</si>
  <si>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</si>
  <si>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</si>
  <si>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</si>
  <si>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</si>
  <si>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</si>
  <si>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</si>
  <si>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</si>
  <si>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</si>
  <si>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</si>
  <si>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</si>
  <si>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</si>
  <si>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</si>
  <si>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</si>
  <si>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</si>
  <si>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</si>
  <si>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</si>
  <si>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</si>
  <si>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</si>
  <si>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</si>
  <si>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</si>
  <si>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</si>
  <si>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</si>
  <si>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</si>
  <si>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</si>
  <si>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</si>
  <si>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</si>
  <si>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</si>
  <si>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</si>
  <si>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</si>
  <si>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</si>
  <si>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</si>
  <si>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</si>
  <si>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</si>
  <si>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</si>
  <si>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</si>
  <si>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</si>
  <si>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</si>
  <si>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</si>
  <si>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</si>
  <si>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</si>
  <si>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</si>
  <si>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</si>
  <si>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</si>
  <si>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</si>
  <si>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</si>
  <si>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</si>
  <si>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</si>
  <si>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</si>
  <si>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</si>
  <si>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</si>
  <si>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</si>
  <si>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</si>
  <si>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</si>
  <si>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</si>
  <si>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</si>
  <si>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</si>
  <si>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</si>
  <si>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</si>
  <si>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</si>
  <si>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</si>
  <si>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</si>
  <si>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</si>
  <si>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</si>
  <si>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</si>
  <si>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</si>
  <si>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</si>
  <si>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</si>
  <si>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</si>
  <si>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</si>
  <si>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</si>
  <si>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</si>
  <si>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</si>
  <si>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</si>
  <si>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</si>
  <si>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</si>
  <si>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</si>
  <si>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</si>
  <si>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</si>
  <si>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</si>
  <si>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</si>
  <si>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</si>
  <si>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</si>
  <si>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</si>
  <si>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</si>
  <si>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</si>
  <si>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</si>
  <si>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</si>
  <si>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</si>
  <si>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</si>
  <si>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</si>
  <si>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</si>
  <si>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</si>
  <si>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</si>
  <si>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</si>
  <si>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</si>
  <si>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</si>
  <si>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</si>
  <si>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</si>
  <si>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</si>
  <si>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</si>
  <si>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</si>
  <si>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</si>
  <si>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</si>
  <si>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</si>
  <si>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</si>
  <si>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</si>
  <si>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</si>
  <si>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</si>
  <si>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</si>
  <si>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</si>
  <si>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</si>
  <si>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</si>
  <si>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</si>
  <si>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</si>
  <si>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</si>
  <si>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</si>
  <si>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</si>
  <si>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</si>
  <si>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</si>
  <si>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</si>
  <si>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</si>
  <si>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</si>
  <si>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</si>
  <si>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</si>
  <si>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</si>
  <si>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</si>
  <si>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</si>
  <si>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</si>
  <si>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</si>
  <si>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</si>
  <si>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</si>
  <si>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</si>
  <si>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</si>
  <si>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</si>
  <si>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</si>
  <si>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</si>
  <si>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</si>
  <si>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</si>
  <si>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</si>
  <si>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</si>
  <si>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</si>
  <si>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</si>
  <si>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</si>
  <si>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</si>
  <si>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</si>
  <si>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</si>
  <si>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</si>
  <si>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</si>
  <si>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</si>
  <si>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</si>
  <si>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</si>
  <si>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</si>
  <si>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</si>
  <si>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</si>
  <si>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</si>
  <si>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</si>
  <si>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</si>
  <si>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</si>
  <si>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</si>
  <si>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</si>
  <si>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</si>
  <si>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</si>
  <si>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</si>
  <si>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</si>
  <si>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</si>
  <si>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</si>
  <si>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</si>
  <si>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</si>
  <si>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</si>
  <si>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</si>
  <si>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</si>
  <si>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</si>
  <si>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</si>
  <si>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</si>
  <si>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</si>
  <si>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</si>
  <si>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</si>
  <si>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</si>
  <si>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</si>
  <si>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</si>
  <si>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</si>
  <si>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</si>
  <si>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</si>
  <si>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</si>
  <si>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</si>
  <si>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</si>
  <si>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</si>
  <si>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</si>
  <si>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</si>
  <si>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</si>
  <si>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</si>
  <si>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</si>
  <si>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</si>
  <si>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</si>
  <si>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</si>
  <si>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</si>
  <si>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</si>
  <si>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</si>
  <si>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</si>
  <si>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</si>
  <si>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</si>
  <si>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</si>
  <si>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</si>
  <si>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</si>
  <si>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</si>
  <si>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</si>
  <si>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</si>
  <si>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</si>
  <si>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</si>
  <si>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</si>
  <si>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</si>
  <si>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</si>
  <si>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</si>
  <si>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</si>
  <si>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</si>
  <si>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</si>
  <si>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</si>
  <si>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</si>
  <si>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</si>
  <si>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</si>
  <si>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</si>
  <si>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</si>
  <si>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</si>
  <si>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</si>
  <si>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</si>
  <si>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</si>
  <si>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</si>
  <si>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</si>
  <si>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</si>
  <si>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</si>
  <si>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</si>
  <si>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</si>
  <si>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</si>
  <si>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</si>
  <si>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</si>
  <si>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</si>
  <si>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</si>
  <si>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</si>
  <si>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</si>
  <si>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</si>
  <si>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</si>
  <si>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</si>
  <si>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</si>
  <si>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</si>
  <si>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</si>
  <si>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</si>
  <si>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</si>
  <si>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</si>
  <si>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</si>
  <si>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</si>
  <si>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</si>
  <si>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</si>
  <si>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</si>
  <si>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</si>
  <si>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</si>
  <si>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</si>
  <si>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</si>
  <si>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</si>
  <si>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</si>
  <si>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</si>
  <si>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</si>
  <si>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</si>
  <si>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</si>
  <si>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</si>
  <si>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</si>
  <si>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</si>
  <si>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</si>
  <si>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</si>
  <si>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</si>
  <si>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</si>
  <si>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</si>
  <si>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</si>
  <si>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</si>
  <si>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</si>
  <si>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</si>
  <si>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</si>
  <si>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</si>
  <si>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</si>
  <si>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</si>
  <si>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</si>
  <si>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</si>
  <si>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</si>
  <si>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</si>
  <si>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</si>
  <si>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</si>
  <si>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</si>
  <si>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</si>
  <si>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</si>
  <si>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</si>
  <si>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</si>
  <si>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</si>
  <si>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</si>
  <si>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</si>
  <si>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</si>
  <si>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</si>
  <si>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</si>
  <si>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</si>
  <si>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</si>
  <si>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</si>
  <si>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</si>
  <si>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</si>
  <si>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</si>
  <si>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</si>
  <si>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</si>
  <si>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</si>
  <si>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</si>
  <si>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</si>
  <si>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</si>
  <si>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</si>
  <si>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</si>
  <si>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</si>
  <si>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</si>
  <si>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</si>
  <si>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</si>
  <si>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</si>
  <si>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</si>
  <si>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</si>
  <si>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</si>
  <si>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</si>
  <si>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</si>
  <si>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</si>
  <si>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</si>
  <si>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</si>
  <si>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</si>
  <si>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</si>
  <si>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</si>
  <si>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</si>
  <si>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</si>
  <si>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</si>
  <si>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</si>
  <si>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</si>
  <si>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</si>
  <si>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</si>
  <si>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</si>
  <si>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</si>
  <si>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</si>
  <si>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</si>
  <si>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</si>
  <si>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</si>
  <si>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</si>
  <si>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</si>
  <si>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</si>
  <si>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</si>
  <si>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</si>
  <si>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</si>
  <si>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</si>
  <si>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</si>
  <si>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</si>
  <si>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</si>
  <si>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</si>
  <si>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</si>
  <si>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</si>
  <si>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</si>
  <si>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</si>
  <si>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</si>
  <si>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</si>
  <si>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</si>
  <si>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</si>
  <si>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</si>
  <si>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</si>
  <si>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</si>
  <si>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</si>
  <si>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</si>
  <si>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</si>
  <si>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</si>
  <si>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</si>
  <si>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</si>
  <si>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</si>
  <si>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</si>
  <si>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</si>
  <si>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</si>
  <si>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</si>
  <si>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</si>
  <si>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</si>
  <si>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</si>
  <si>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</si>
  <si>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</si>
  <si>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</si>
  <si>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</si>
  <si>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</si>
  <si>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</si>
  <si>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</si>
  <si>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</si>
  <si>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</si>
  <si>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</si>
  <si>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</si>
  <si>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</si>
  <si>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</si>
  <si>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</si>
  <si>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</si>
  <si>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</si>
  <si>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</si>
  <si>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</si>
  <si>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</si>
  <si>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</si>
  <si>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</si>
  <si>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</si>
  <si>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</si>
  <si>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</si>
  <si>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</si>
  <si>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</si>
  <si>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</si>
  <si>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</si>
  <si>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</si>
  <si>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</si>
  <si>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</si>
  <si>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</si>
  <si>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</si>
  <si>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</si>
  <si>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</si>
  <si>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</si>
  <si>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</si>
  <si>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</si>
  <si>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</si>
  <si>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</si>
  <si>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</si>
  <si>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</si>
  <si>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</si>
  <si>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</si>
  <si>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</si>
  <si>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</si>
  <si>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</si>
  <si>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</si>
  <si>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</si>
  <si>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</si>
  <si>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</si>
  <si>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</si>
  <si>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</si>
  <si>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</si>
  <si>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</si>
  <si>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</si>
  <si>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</si>
  <si>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</si>
  <si>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</si>
  <si>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</si>
  <si>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</si>
  <si>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</si>
  <si>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</si>
  <si>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</si>
  <si>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</si>
  <si>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</si>
  <si>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</si>
  <si>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</si>
  <si>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</si>
  <si>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</si>
  <si>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</si>
  <si>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</si>
  <si>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</si>
  <si>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</si>
  <si>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</si>
  <si>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</si>
  <si>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</si>
  <si>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</si>
  <si>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</si>
  <si>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</si>
  <si>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</si>
  <si>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</si>
  <si>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</si>
  <si>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</si>
  <si>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</si>
  <si>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</si>
  <si>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</si>
  <si>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</si>
  <si>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</si>
  <si>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</si>
  <si>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</si>
  <si>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</si>
  <si>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</si>
  <si>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</si>
  <si>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</si>
  <si>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</si>
  <si>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</si>
  <si>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</si>
  <si>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</si>
  <si>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</si>
  <si>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</si>
  <si>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</si>
  <si>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</si>
  <si>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</si>
  <si>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</si>
  <si>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</si>
  <si>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</si>
  <si>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</si>
  <si>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</si>
  <si>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</si>
  <si>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</si>
  <si>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</si>
  <si>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</si>
  <si>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</si>
  <si>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</si>
  <si>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</si>
  <si>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</si>
  <si>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</si>
  <si>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</si>
  <si>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</si>
  <si>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</si>
  <si>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</si>
  <si>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</si>
  <si>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</si>
  <si>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</si>
  <si>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</si>
  <si>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</si>
  <si>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</si>
  <si>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</si>
  <si>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</si>
  <si>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</si>
  <si>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</si>
  <si>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</si>
  <si>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</si>
  <si>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</si>
  <si>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</si>
  <si>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</si>
  <si>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</si>
  <si>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</si>
  <si>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</si>
  <si>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</si>
  <si>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</si>
  <si>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</si>
  <si>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</si>
  <si>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</si>
  <si>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</si>
  <si>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</si>
  <si>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</si>
  <si>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</si>
  <si>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</si>
  <si>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</si>
  <si>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</si>
  <si>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</si>
  <si>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</si>
  <si>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</si>
  <si>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</si>
  <si>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</si>
  <si>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</si>
  <si>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</si>
  <si>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</si>
  <si>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</si>
  <si>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</si>
  <si>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</si>
  <si>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</si>
  <si>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</si>
  <si>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</si>
  <si>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</si>
  <si>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</si>
  <si>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</si>
  <si>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</si>
  <si>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</si>
  <si>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</si>
  <si>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</si>
  <si>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</si>
  <si>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</si>
  <si>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</si>
  <si>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</si>
  <si>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</si>
  <si>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</si>
  <si>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</si>
  <si>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</si>
  <si>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</si>
  <si>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</si>
  <si>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</si>
  <si>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</si>
  <si>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</si>
  <si>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</si>
  <si>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</si>
  <si>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</si>
  <si>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</si>
  <si>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</si>
  <si>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</si>
  <si>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</si>
  <si>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</si>
  <si>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</si>
  <si>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</si>
  <si>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</si>
  <si>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</si>
  <si>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</si>
  <si>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</si>
  <si>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</si>
  <si>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</si>
  <si>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</si>
  <si>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</si>
  <si>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</si>
  <si>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</si>
  <si>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</si>
  <si>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</si>
  <si>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</si>
  <si>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</si>
  <si>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</si>
  <si>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</si>
  <si>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</si>
  <si>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</si>
  <si>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</si>
  <si>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</si>
  <si>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</si>
  <si>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</si>
  <si>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</si>
  <si>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</si>
  <si>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</si>
  <si>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</si>
  <si>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</si>
  <si>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</si>
  <si>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</si>
  <si>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</si>
  <si>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</si>
  <si>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</si>
  <si>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</si>
  <si>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</si>
  <si>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</si>
  <si>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</si>
  <si>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</si>
  <si>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</si>
  <si>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</si>
  <si>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</si>
  <si>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</si>
  <si>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</si>
  <si>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</si>
  <si>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</si>
  <si>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</si>
  <si>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</si>
  <si>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</si>
  <si>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</si>
  <si>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</si>
  <si>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</si>
  <si>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</si>
  <si>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</si>
  <si>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</si>
  <si>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</si>
  <si>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</si>
  <si>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</si>
  <si>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</si>
  <si>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</si>
  <si>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</si>
  <si>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</si>
  <si>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</si>
  <si>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</si>
  <si>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</si>
  <si>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</si>
  <si>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</si>
  <si>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</si>
  <si>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</si>
  <si>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</si>
  <si>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</si>
  <si>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</si>
  <si>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</si>
  <si>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</si>
  <si>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</si>
  <si>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</si>
  <si>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</si>
  <si>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</si>
  <si>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</si>
  <si>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</si>
  <si>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</si>
  <si>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</si>
  <si>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</si>
  <si>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</si>
  <si>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</si>
  <si>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</si>
  <si>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</si>
  <si>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</si>
  <si>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</si>
  <si>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</si>
  <si>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</si>
  <si>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</si>
  <si>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</si>
  <si>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</si>
  <si>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</si>
  <si>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</si>
  <si>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</si>
  <si>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</si>
  <si>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</si>
  <si>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</si>
  <si>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</si>
  <si>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</si>
  <si>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</si>
  <si>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</si>
  <si>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</si>
  <si>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</si>
  <si>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</si>
  <si>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</si>
  <si>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</si>
  <si>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</si>
  <si>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</si>
  <si>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</si>
  <si>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</si>
  <si>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</si>
  <si>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</si>
  <si>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</si>
  <si>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</si>
  <si>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</si>
  <si>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</si>
  <si>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</si>
  <si>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</si>
  <si>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</si>
  <si>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</si>
  <si>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</si>
  <si>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</si>
  <si>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</si>
  <si>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</si>
  <si>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</si>
  <si>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</si>
  <si>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</si>
  <si>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</si>
  <si>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</si>
  <si>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</si>
  <si>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</si>
  <si>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</si>
  <si>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</si>
  <si>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</si>
  <si>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</si>
  <si>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</si>
  <si>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</si>
  <si>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</si>
  <si>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</si>
  <si>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</si>
  <si>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</si>
  <si>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</si>
  <si>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</si>
  <si>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</si>
  <si>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</si>
  <si>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</si>
  <si>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</si>
  <si>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</si>
  <si>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</si>
  <si>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</si>
  <si>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</si>
  <si>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</si>
  <si>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</si>
  <si>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</si>
  <si>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</si>
  <si>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</si>
  <si>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</si>
  <si>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</si>
  <si>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</si>
  <si>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</si>
  <si>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</si>
  <si>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</si>
  <si>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</si>
  <si>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</si>
  <si>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</si>
  <si>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</si>
  <si>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</si>
  <si>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</si>
  <si>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</si>
  <si>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</si>
  <si>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</si>
  <si>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</si>
  <si>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</si>
  <si>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</si>
  <si>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</si>
  <si>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</si>
  <si>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</si>
  <si>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</si>
  <si>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</si>
  <si>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</si>
  <si>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</si>
  <si>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</si>
  <si>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</si>
  <si>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</si>
  <si>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</si>
  <si>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</si>
  <si>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</si>
  <si>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</si>
  <si>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</si>
  <si>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</si>
  <si>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</si>
  <si>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</si>
  <si>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</si>
  <si>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</si>
  <si>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</si>
  <si>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</si>
  <si>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</si>
  <si>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</si>
  <si>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</si>
  <si>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</si>
  <si>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</si>
  <si>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</si>
  <si>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</si>
  <si>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</si>
  <si>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</si>
  <si>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</si>
  <si>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</si>
  <si>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</si>
  <si>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</si>
  <si>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</si>
  <si>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</si>
  <si>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</si>
  <si>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</si>
  <si>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</si>
  <si>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</si>
  <si>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</si>
  <si>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</si>
  <si>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</si>
  <si>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</si>
  <si>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</si>
  <si>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</si>
  <si>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</si>
  <si>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</si>
  <si>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</si>
  <si>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</si>
  <si>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</si>
  <si>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</si>
  <si>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</si>
  <si>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</si>
  <si>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</si>
  <si>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</si>
  <si>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</si>
  <si>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</si>
  <si>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</si>
  <si>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</si>
  <si>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</si>
  <si>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</si>
  <si>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</si>
  <si>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</si>
  <si>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</si>
  <si>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</si>
  <si>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</si>
  <si>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</si>
  <si>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</si>
  <si>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</si>
  <si>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</si>
  <si>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</si>
  <si>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</si>
  <si>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</si>
  <si>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</si>
  <si>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</si>
  <si>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</si>
  <si>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</si>
  <si>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</si>
  <si>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</si>
  <si>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</si>
  <si>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</si>
  <si>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</si>
  <si>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</si>
  <si>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</si>
  <si>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</si>
  <si>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</si>
  <si>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</si>
  <si>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</si>
  <si>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</si>
  <si>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</si>
  <si>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</si>
  <si>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</si>
  <si>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</si>
  <si>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</si>
  <si>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</si>
  <si>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</si>
  <si>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</si>
  <si>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</si>
  <si>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</si>
  <si>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</si>
  <si>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</si>
  <si>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</si>
  <si>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</si>
  <si>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</si>
  <si>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</si>
  <si>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</si>
  <si>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</si>
  <si>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</si>
  <si>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</si>
  <si>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</si>
  <si>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</si>
  <si>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</si>
  <si>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</si>
  <si>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</si>
  <si>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</si>
  <si>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</si>
  <si>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</si>
  <si>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</si>
  <si>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</si>
  <si>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</si>
  <si>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</si>
  <si>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</si>
  <si>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</si>
  <si>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</si>
  <si>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</si>
  <si>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</si>
  <si>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</si>
  <si>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</si>
  <si>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</si>
  <si>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</si>
  <si>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</si>
  <si>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</si>
  <si>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</si>
  <si>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</si>
  <si>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</si>
  <si>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</si>
  <si>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</si>
  <si>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</si>
  <si>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</si>
  <si>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</si>
  <si>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</si>
  <si>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</si>
  <si>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</si>
  <si>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</si>
  <si>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</si>
  <si>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</si>
  <si>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</si>
  <si>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</si>
  <si>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</si>
  <si>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</si>
  <si>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</si>
  <si>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</si>
  <si>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</si>
  <si>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</si>
  <si>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</si>
  <si>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</si>
  <si>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</si>
  <si>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</si>
  <si>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</si>
  <si>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</si>
  <si>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</si>
  <si>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</si>
  <si>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</si>
  <si>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</si>
  <si>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</si>
  <si>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</si>
  <si>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</si>
  <si>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</si>
  <si>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</si>
  <si>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</si>
  <si>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</si>
  <si>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</si>
  <si>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</si>
  <si>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</si>
  <si>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</si>
  <si>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</si>
  <si>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</si>
  <si>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</si>
  <si>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</si>
  <si>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</si>
  <si>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</si>
  <si>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</si>
  <si>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</si>
  <si>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</si>
  <si>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</si>
  <si>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</si>
  <si>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</si>
  <si>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</si>
  <si>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</si>
  <si>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</si>
  <si>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</si>
  <si>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</si>
  <si>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</si>
  <si>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</si>
  <si>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</si>
  <si>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</si>
  <si>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</si>
  <si>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</si>
  <si>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</si>
  <si>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</si>
  <si>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</si>
  <si>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</si>
  <si>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</si>
  <si>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</si>
  <si>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</si>
  <si>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</si>
  <si>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</si>
  <si>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</si>
  <si>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</si>
  <si>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</si>
  <si>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</si>
  <si>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</si>
  <si>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</si>
  <si>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</si>
  <si>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</si>
  <si>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</si>
  <si>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</si>
  <si>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</si>
  <si>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</si>
  <si>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</si>
  <si>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</si>
  <si>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</si>
  <si>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</si>
  <si>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</si>
  <si>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</si>
  <si>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</si>
  <si>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</si>
  <si>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</si>
  <si>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</si>
  <si>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</si>
  <si>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</si>
  <si>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</si>
  <si>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</si>
  <si>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</si>
  <si>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</si>
  <si>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</si>
  <si>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</si>
  <si>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</si>
  <si>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</si>
  <si>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</si>
  <si>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</si>
  <si>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</si>
  <si>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</si>
  <si>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</si>
  <si>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</si>
  <si>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</si>
  <si>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</si>
  <si>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</si>
  <si>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</si>
  <si>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</si>
  <si>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</si>
  <si>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</si>
  <si>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</si>
  <si>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</si>
  <si>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</si>
  <si>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</si>
  <si>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</si>
  <si>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</si>
  <si>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</si>
  <si>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</si>
  <si>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</si>
  <si>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</si>
  <si>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</si>
  <si>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</si>
  <si>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</si>
  <si>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</si>
  <si>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</si>
  <si>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</si>
  <si>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</si>
  <si>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</si>
  <si>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</si>
  <si>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</si>
  <si>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</si>
  <si>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</si>
  <si>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</si>
  <si>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</si>
  <si>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</si>
  <si>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</si>
  <si>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</si>
  <si>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</si>
  <si>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</si>
  <si>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</si>
  <si>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</si>
  <si>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</si>
  <si>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</si>
  <si>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</si>
  <si>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</si>
  <si>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</si>
  <si>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</si>
  <si>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</si>
  <si>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</si>
  <si>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</si>
  <si>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</si>
  <si>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</si>
  <si>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</si>
  <si>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</si>
  <si>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</si>
  <si>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</si>
  <si>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</si>
  <si>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</si>
  <si>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</si>
  <si>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</si>
  <si>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</si>
  <si>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</si>
  <si>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</si>
  <si>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</si>
  <si>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</si>
  <si>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</si>
  <si>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</si>
  <si>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</si>
  <si>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</si>
  <si>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</si>
  <si>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</si>
  <si>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</si>
  <si>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</si>
  <si>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</si>
  <si>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</si>
  <si>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</si>
  <si>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</si>
  <si>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</si>
  <si>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</si>
  <si>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</si>
  <si>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</si>
  <si>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</si>
  <si>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</si>
  <si>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</si>
  <si>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</si>
  <si>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</si>
  <si>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</si>
  <si>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</si>
  <si>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</si>
  <si>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</si>
  <si>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</si>
  <si>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</si>
  <si>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</si>
  <si>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</si>
  <si>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</si>
  <si>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</si>
  <si>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</si>
  <si>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</si>
  <si>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</si>
  <si>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</si>
  <si>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</si>
  <si>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</si>
  <si>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</si>
  <si>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</si>
  <si>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</si>
  <si>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</si>
  <si>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</si>
  <si>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</si>
  <si>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</si>
  <si>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</si>
  <si>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</si>
  <si>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</si>
  <si>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</si>
  <si>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</si>
  <si>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</si>
  <si>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</si>
  <si>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</si>
  <si>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</si>
  <si>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</si>
  <si>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</si>
  <si>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</si>
  <si>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</si>
  <si>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</si>
  <si>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</si>
  <si>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</si>
  <si>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</si>
  <si>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</si>
  <si>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</si>
  <si>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</si>
  <si>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</si>
  <si>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</si>
  <si>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</si>
  <si>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</si>
  <si>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</si>
  <si>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</si>
  <si>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</si>
  <si>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</si>
  <si>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</si>
  <si>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</si>
  <si>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</si>
  <si>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</si>
  <si>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</si>
  <si>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</si>
  <si>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</si>
  <si>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</si>
  <si>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</si>
  <si>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</si>
  <si>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</si>
  <si>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</si>
  <si>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</si>
  <si>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</si>
  <si>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</si>
  <si>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</si>
  <si>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</si>
  <si>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</si>
  <si>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</si>
  <si>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</si>
  <si>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</si>
  <si>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</si>
  <si>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</si>
  <si>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</si>
  <si>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</si>
  <si>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</si>
  <si>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</si>
  <si>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</si>
  <si>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</si>
  <si>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</si>
  <si>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</si>
  <si>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</si>
  <si>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</si>
  <si>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</si>
  <si>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</si>
  <si>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</si>
  <si>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</si>
  <si>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</si>
  <si>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</si>
  <si>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</si>
  <si>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</si>
  <si>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</si>
  <si>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</si>
  <si>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</si>
  <si>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</si>
  <si>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</si>
  <si>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</si>
  <si>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</si>
  <si>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</si>
  <si>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</si>
  <si>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</si>
  <si>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</si>
  <si>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</si>
  <si>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</si>
  <si>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</si>
  <si>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</si>
  <si>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</si>
  <si>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</si>
  <si>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</si>
  <si>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</si>
  <si>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</si>
  <si>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</si>
  <si>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</si>
  <si>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</si>
  <si>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</si>
  <si>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</si>
  <si>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</si>
  <si>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</si>
  <si>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</si>
  <si>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</si>
  <si>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</si>
  <si>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</si>
  <si>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</si>
  <si>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</si>
  <si>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</si>
  <si>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</si>
  <si>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</si>
  <si>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</si>
  <si>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</si>
  <si>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</si>
  <si>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</si>
  <si>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</si>
  <si>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</si>
  <si>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</si>
  <si>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</si>
  <si>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</si>
  <si>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</si>
  <si>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</si>
  <si>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</si>
  <si>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</si>
  <si>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</si>
  <si>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</si>
  <si>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</si>
  <si>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</si>
  <si>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</si>
  <si>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</si>
  <si>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</si>
  <si>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</si>
  <si>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</si>
  <si>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</si>
  <si>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</si>
  <si>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</si>
  <si>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</si>
  <si>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</si>
  <si>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</si>
  <si>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</si>
  <si>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</si>
  <si>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</si>
  <si>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</si>
  <si>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</si>
  <si>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</si>
  <si>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</si>
  <si>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</si>
  <si>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</si>
  <si>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</si>
  <si>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</si>
  <si>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</si>
  <si>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</si>
  <si>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</si>
  <si>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</si>
  <si>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</si>
  <si>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</si>
  <si>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</si>
  <si>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</si>
  <si>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</si>
  <si>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</si>
  <si>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</si>
  <si>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</si>
  <si>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</si>
  <si>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</si>
  <si>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</si>
  <si>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</si>
  <si>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</si>
  <si>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</si>
  <si>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</si>
  <si>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</si>
  <si>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</si>
  <si>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</si>
  <si>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</si>
  <si>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</si>
  <si>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</si>
  <si>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</si>
  <si>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</si>
  <si>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</si>
  <si>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</si>
  <si>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</si>
  <si>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</si>
  <si>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</si>
  <si>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</si>
  <si>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</si>
  <si>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</si>
  <si>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</si>
  <si>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</si>
  <si>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</si>
  <si>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</si>
  <si>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</si>
  <si>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</si>
  <si>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</si>
  <si>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</si>
  <si>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</si>
  <si>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</si>
  <si>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</si>
  <si>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</si>
  <si>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</si>
  <si>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</si>
  <si>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</si>
  <si>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</si>
  <si>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</si>
  <si>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</si>
  <si>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</si>
  <si>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</si>
  <si>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</si>
  <si>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</si>
  <si>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</si>
  <si>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</si>
  <si>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</si>
  <si>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</si>
  <si>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</si>
  <si>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</si>
  <si>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</si>
  <si>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</si>
  <si>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</si>
  <si>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</si>
  <si>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</si>
  <si>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</si>
  <si>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</si>
  <si>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</si>
  <si>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</si>
  <si>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</si>
  <si>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</si>
  <si>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</si>
  <si>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</si>
  <si>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</si>
  <si>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</si>
  <si>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</si>
  <si>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</si>
  <si>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</si>
  <si>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</si>
  <si>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</si>
  <si>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</si>
  <si>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</si>
  <si>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</si>
  <si>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</si>
  <si>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</si>
  <si>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</si>
  <si>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</si>
  <si>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</si>
  <si>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</si>
  <si>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</si>
  <si>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</si>
  <si>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</si>
  <si>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</si>
  <si>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</si>
  <si>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</si>
  <si>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</si>
  <si>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</si>
  <si>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</si>
  <si>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</si>
  <si>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</si>
  <si>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</si>
  <si>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</si>
  <si>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</si>
  <si>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</si>
  <si>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</si>
  <si>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</si>
  <si>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</si>
  <si>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</si>
  <si>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</si>
  <si>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</si>
  <si>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</si>
  <si>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</si>
  <si>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</si>
  <si>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</si>
  <si>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</si>
  <si>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</si>
  <si>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</si>
  <si>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</si>
  <si>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</si>
  <si>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</si>
  <si>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</si>
  <si>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</si>
  <si>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</si>
  <si>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</si>
  <si>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</si>
  <si>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</si>
  <si>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</si>
  <si>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</si>
  <si>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</si>
  <si>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</si>
  <si>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</si>
  <si>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</si>
  <si>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</si>
  <si>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</si>
  <si>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</si>
  <si>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</si>
  <si>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</si>
  <si>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</si>
  <si>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</si>
  <si>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</si>
  <si>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</si>
  <si>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</si>
  <si>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</si>
  <si>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</si>
  <si>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</si>
  <si>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</si>
  <si>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</si>
  <si>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</si>
  <si>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</si>
  <si>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</si>
  <si>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</si>
  <si>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</si>
  <si>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</si>
  <si>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</si>
  <si>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</si>
  <si>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</si>
  <si>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</si>
  <si>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</si>
  <si>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</si>
  <si>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</si>
  <si>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</si>
  <si>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</si>
  <si>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</si>
  <si>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</si>
  <si>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</si>
  <si>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</si>
  <si>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</si>
  <si>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</si>
  <si>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</si>
  <si>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</si>
  <si>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</si>
  <si>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</si>
  <si>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</si>
  <si>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</si>
  <si>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</si>
  <si>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</si>
  <si>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</si>
  <si>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</si>
  <si>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</si>
  <si>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</si>
  <si>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</si>
  <si>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</si>
  <si>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</si>
  <si>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</si>
  <si>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</si>
  <si>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</si>
  <si>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</si>
  <si>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</si>
  <si>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</si>
  <si>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</si>
  <si>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</si>
  <si>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</si>
  <si>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</si>
  <si>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</si>
  <si>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</si>
  <si>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</si>
  <si>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</si>
  <si>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</si>
  <si>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</si>
  <si>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</si>
  <si>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</si>
  <si>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</si>
  <si>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</si>
  <si>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</si>
  <si>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</si>
  <si>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</si>
  <si>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</si>
  <si>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</si>
  <si>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</si>
  <si>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</si>
  <si>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</si>
  <si>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</si>
  <si>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</si>
  <si>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</si>
  <si>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</si>
  <si>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</si>
  <si>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</si>
  <si>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</si>
  <si>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</si>
  <si>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</si>
  <si>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</si>
  <si>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</si>
  <si>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</si>
  <si>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</si>
  <si>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</si>
  <si>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</si>
  <si>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</si>
  <si>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</si>
  <si>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</si>
  <si>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</si>
  <si>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</si>
  <si>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</si>
  <si>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</si>
  <si>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</si>
  <si>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</si>
  <si>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</si>
  <si>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</si>
  <si>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</si>
  <si>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</si>
  <si>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</si>
  <si>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</si>
  <si>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</si>
  <si>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</si>
  <si>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</si>
  <si>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</si>
  <si>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</si>
  <si>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</si>
  <si>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</si>
  <si>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</si>
  <si>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</si>
  <si>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</si>
  <si>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</si>
  <si>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</si>
  <si>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</si>
  <si>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</si>
  <si>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</si>
  <si>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</si>
  <si>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</si>
  <si>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</si>
  <si>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</si>
  <si>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</si>
  <si>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</si>
  <si>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</si>
  <si>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</si>
  <si>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</si>
  <si>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</si>
  <si>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</si>
  <si>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</si>
  <si>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</si>
  <si>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</si>
  <si>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</si>
  <si>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</si>
  <si>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</si>
  <si>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</si>
  <si>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</si>
  <si>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</si>
  <si>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</si>
  <si>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</si>
  <si>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</si>
  <si>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</si>
  <si>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</si>
  <si>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</si>
  <si>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</si>
  <si>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</si>
  <si>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</si>
  <si>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</si>
  <si>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</si>
  <si>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</si>
  <si>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</si>
  <si>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</si>
  <si>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</si>
  <si>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</si>
  <si>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</si>
  <si>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</si>
  <si>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</si>
  <si>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</si>
  <si>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</si>
  <si>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</si>
  <si>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</si>
  <si>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</si>
  <si>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</si>
  <si>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</si>
  <si>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</si>
  <si>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</si>
  <si>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</si>
  <si>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</si>
  <si>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</si>
  <si>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</si>
  <si>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</si>
  <si>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</si>
  <si>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</si>
  <si>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</si>
  <si>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</si>
  <si>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</si>
  <si>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</si>
  <si>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</si>
  <si>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</si>
  <si>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</si>
  <si>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</si>
  <si>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</si>
  <si>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</si>
  <si>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</si>
  <si>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</si>
  <si>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</si>
  <si>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</si>
  <si>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</si>
  <si>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</si>
  <si>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</si>
  <si>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</si>
  <si>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</si>
  <si>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</si>
  <si>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</si>
  <si>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</si>
  <si>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</si>
  <si>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</si>
  <si>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</si>
  <si>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</si>
  <si>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</si>
  <si>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</si>
  <si>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</si>
  <si>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</si>
  <si>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</si>
  <si>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</si>
  <si>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</si>
  <si>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</si>
  <si>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</si>
  <si>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</si>
  <si>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</si>
  <si>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</si>
  <si>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</si>
  <si>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</si>
  <si>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</si>
  <si>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</si>
  <si>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</si>
  <si>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</si>
  <si>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</si>
  <si>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</si>
  <si>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</si>
  <si>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</si>
  <si>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</si>
  <si>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</si>
  <si>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</si>
  <si>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</si>
  <si>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</si>
  <si>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</si>
  <si>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</si>
  <si>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</si>
  <si>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</si>
  <si>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</si>
  <si>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</si>
  <si>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</si>
  <si>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</si>
  <si>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</si>
  <si>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</si>
  <si>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</si>
  <si>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</si>
  <si>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</si>
  <si>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</si>
  <si>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</si>
  <si>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</si>
  <si>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</si>
  <si>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</si>
  <si>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</si>
  <si>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</si>
  <si>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</si>
  <si>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</si>
  <si>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</si>
  <si>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</si>
  <si>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</si>
  <si>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</si>
  <si>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</si>
  <si>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</si>
  <si>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</si>
  <si>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</si>
  <si>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</si>
  <si>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</si>
  <si>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</si>
  <si>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</si>
  <si>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</si>
  <si>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</si>
  <si>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</si>
  <si>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</si>
  <si>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</si>
  <si>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</si>
  <si>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</si>
  <si>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</si>
  <si>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</si>
  <si>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</si>
  <si>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</si>
  <si>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</si>
  <si>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</si>
  <si>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</si>
  <si>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</si>
  <si>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</si>
  <si>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</si>
  <si>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</si>
  <si>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</si>
  <si>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</si>
  <si>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</si>
  <si>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</si>
  <si>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</si>
  <si>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</si>
  <si>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</si>
  <si>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</si>
  <si>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</si>
  <si>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</si>
  <si>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</si>
  <si>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</si>
  <si>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</si>
  <si>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</si>
  <si>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</si>
  <si>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</si>
  <si>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</si>
  <si>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</si>
  <si>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</si>
  <si>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</si>
  <si>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</si>
  <si>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</si>
  <si>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</si>
  <si>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</si>
  <si>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</si>
  <si>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</si>
  <si>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</si>
  <si>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</si>
  <si>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</si>
  <si>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</si>
  <si>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</si>
  <si>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</si>
  <si>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</si>
  <si>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</si>
  <si>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</si>
  <si>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</si>
  <si>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</si>
  <si>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</si>
  <si>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</si>
  <si>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</si>
  <si>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</si>
  <si>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</si>
  <si>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</si>
  <si>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</si>
  <si>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</si>
  <si>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</si>
  <si>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</si>
  <si>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</si>
  <si>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</si>
  <si>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</si>
  <si>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</si>
  <si>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</si>
  <si>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</si>
  <si>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</si>
  <si>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</si>
  <si>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</si>
  <si>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</si>
  <si>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</si>
  <si>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</si>
  <si>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</si>
  <si>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</si>
  <si>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</si>
  <si>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</si>
  <si>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</si>
  <si>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</si>
  <si>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</si>
  <si>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</si>
  <si>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</si>
  <si>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</si>
  <si>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</si>
  <si>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</si>
  <si>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</si>
  <si>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</si>
  <si>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</si>
  <si>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</si>
  <si>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</si>
  <si>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</si>
  <si>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</si>
  <si>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</si>
  <si>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</si>
  <si>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</si>
  <si>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</si>
  <si>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</si>
  <si>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</si>
  <si>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</si>
  <si>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</si>
  <si>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</si>
  <si>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</si>
  <si>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</si>
  <si>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</si>
  <si>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</si>
  <si>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</si>
  <si>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</si>
  <si>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</si>
  <si>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</si>
  <si>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</si>
  <si>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</si>
  <si>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</si>
  <si>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</si>
  <si>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</si>
  <si>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</si>
  <si>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</si>
  <si>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</si>
  <si>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</si>
  <si>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</si>
  <si>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</si>
  <si>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</si>
  <si>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</si>
  <si>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</si>
  <si>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</si>
  <si>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</si>
  <si>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</si>
  <si>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</si>
  <si>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</si>
  <si>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</si>
  <si>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</si>
  <si>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</si>
  <si>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</si>
  <si>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</si>
  <si>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</si>
  <si>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</si>
  <si>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</si>
  <si>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</si>
  <si>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</si>
  <si>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</si>
  <si>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</si>
  <si>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</si>
  <si>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</si>
  <si>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</si>
  <si>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</si>
  <si>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</si>
  <si>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</si>
  <si>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</si>
  <si>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</si>
  <si>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</si>
  <si>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</si>
  <si>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</si>
  <si>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</si>
  <si>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</si>
  <si>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</si>
  <si>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</si>
  <si>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</si>
  <si>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</si>
  <si>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</si>
  <si>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</si>
  <si>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</si>
  <si>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</si>
  <si>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</si>
  <si>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</si>
  <si>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</si>
  <si>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</si>
  <si>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</si>
  <si>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</si>
  <si>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</si>
  <si>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</si>
  <si>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</si>
  <si>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</si>
  <si>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</si>
  <si>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</si>
  <si>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</si>
  <si>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</si>
  <si>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</si>
  <si>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</si>
  <si>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</si>
  <si>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</si>
  <si>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</si>
  <si>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</si>
  <si>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</si>
  <si>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</si>
  <si>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</si>
  <si>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</si>
  <si>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</si>
  <si>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</si>
  <si>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</si>
  <si>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</si>
  <si>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</si>
  <si>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</si>
  <si>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</si>
  <si>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</si>
  <si>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</si>
  <si>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</si>
  <si>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</si>
  <si>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</si>
  <si>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</si>
  <si>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</si>
  <si>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</si>
  <si>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</si>
  <si>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</si>
  <si>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</si>
  <si>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</si>
  <si>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</si>
  <si>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</si>
  <si>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</si>
  <si>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</si>
  <si>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</si>
  <si>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</si>
  <si>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</si>
  <si>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</si>
  <si>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</si>
  <si>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</si>
  <si>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</si>
  <si>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</si>
  <si>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</si>
  <si>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</si>
  <si>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</si>
  <si>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</si>
  <si>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</si>
  <si>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</si>
  <si>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</si>
  <si>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</si>
  <si>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</si>
  <si>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</si>
  <si>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</si>
  <si>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</si>
  <si>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</si>
  <si>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</si>
  <si>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</si>
  <si>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</si>
  <si>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</si>
  <si>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</si>
  <si>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</si>
  <si>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</si>
  <si>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</si>
  <si>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</si>
  <si>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</si>
  <si>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</si>
  <si>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</si>
  <si>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</si>
  <si>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</si>
  <si>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</si>
  <si>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</si>
  <si>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</si>
  <si>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</si>
  <si>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</si>
  <si>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</si>
  <si>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</si>
  <si>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</si>
  <si>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</si>
  <si>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</si>
  <si>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</si>
  <si>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</si>
  <si>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</si>
  <si>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</si>
  <si>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</si>
  <si>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</si>
  <si>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</si>
  <si>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</si>
  <si>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</si>
  <si>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</si>
  <si>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</si>
  <si>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</si>
  <si>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</si>
  <si>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</si>
  <si>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</si>
  <si>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</si>
  <si>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</si>
  <si>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</si>
  <si>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</si>
  <si>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</si>
  <si>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</si>
  <si>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</si>
  <si>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</si>
  <si>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</si>
  <si>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</si>
  <si>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</si>
  <si>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</si>
  <si>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</si>
  <si>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</si>
  <si>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</si>
  <si>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</si>
  <si>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</si>
  <si>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</si>
  <si>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</si>
  <si>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</si>
  <si>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</si>
  <si>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</si>
  <si>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</si>
  <si>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</si>
  <si>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</si>
  <si>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</si>
  <si>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</si>
  <si>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</si>
  <si>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</si>
  <si>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</si>
  <si>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</si>
  <si>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</si>
  <si>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</si>
  <si>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</si>
  <si>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</si>
  <si>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</si>
  <si>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</si>
  <si>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</si>
  <si>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</si>
  <si>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</si>
  <si>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</si>
  <si>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</si>
  <si>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</si>
  <si>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</si>
  <si>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</si>
  <si>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</si>
  <si>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</si>
  <si>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</si>
  <si>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</si>
  <si>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</si>
  <si>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</si>
  <si>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</si>
  <si>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</si>
  <si>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</si>
  <si>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</si>
  <si>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</si>
  <si>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</si>
  <si>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</si>
  <si>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</si>
  <si>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</si>
  <si>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</si>
  <si>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</si>
  <si>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</si>
  <si>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</si>
  <si>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</si>
  <si>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</si>
  <si>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</si>
  <si>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</si>
  <si>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</si>
  <si>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</si>
  <si>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</si>
  <si>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</si>
  <si>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</si>
  <si>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</si>
  <si>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</si>
  <si>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</si>
  <si>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</si>
  <si>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</si>
  <si>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</si>
  <si>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</si>
  <si>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</si>
  <si>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</si>
  <si>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</si>
  <si>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</si>
  <si>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</si>
  <si>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</si>
  <si>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</si>
  <si>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</si>
  <si>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</si>
  <si>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</si>
  <si>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</si>
  <si>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</si>
  <si>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</si>
  <si>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</si>
  <si>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</si>
  <si>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</si>
  <si>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</si>
  <si>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</si>
  <si>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</si>
  <si>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</si>
  <si>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</si>
  <si>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</si>
  <si>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</si>
  <si>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</si>
  <si>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</si>
  <si>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</si>
  <si>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</si>
  <si>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</si>
  <si>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</si>
  <si>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</si>
  <si>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</si>
  <si>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</si>
  <si>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</si>
  <si>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</si>
  <si>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</si>
  <si>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</si>
  <si>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</si>
  <si>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</si>
  <si>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</si>
  <si>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</si>
  <si>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</si>
  <si>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</si>
  <si>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</si>
  <si>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</si>
  <si>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</si>
  <si>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</si>
  <si>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</si>
  <si>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</si>
  <si>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</si>
  <si>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</si>
  <si>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</si>
  <si>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</si>
  <si>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</si>
  <si>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</si>
  <si>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</si>
  <si>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</si>
  <si>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</si>
  <si>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</si>
  <si>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</si>
  <si>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</si>
  <si>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</si>
  <si>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</si>
  <si>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</si>
  <si>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</si>
  <si>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</si>
  <si>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</si>
  <si>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</si>
  <si>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</si>
  <si>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</si>
  <si>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</si>
  <si>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</si>
  <si>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</si>
  <si>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</si>
  <si>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</si>
  <si>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</si>
  <si>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</si>
  <si>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</si>
  <si>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</si>
  <si>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</si>
  <si>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</si>
  <si>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</si>
  <si>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</si>
  <si>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</si>
  <si>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</si>
  <si>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</si>
  <si>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</si>
  <si>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</si>
  <si>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</si>
  <si>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</si>
  <si>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</si>
  <si>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</si>
  <si>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</si>
  <si>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</si>
  <si>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</si>
  <si>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</si>
  <si>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</si>
  <si>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</si>
  <si>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</si>
  <si>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</si>
  <si>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</si>
  <si>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</si>
  <si>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</si>
  <si>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</si>
  <si>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</si>
  <si>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</si>
  <si>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</si>
  <si>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</si>
  <si>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</si>
  <si>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</si>
  <si>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</si>
  <si>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</si>
  <si>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</si>
  <si>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</si>
  <si>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</si>
  <si>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</si>
  <si>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</si>
  <si>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</si>
  <si>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</si>
  <si>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</si>
  <si>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</si>
  <si>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</si>
  <si>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</si>
  <si>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</si>
  <si>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</si>
  <si>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</si>
  <si>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</si>
  <si>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</si>
  <si>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</si>
  <si>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</si>
  <si>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</si>
  <si>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</si>
  <si>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</si>
  <si>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</si>
  <si>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</si>
  <si>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</si>
  <si>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</si>
  <si>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</si>
  <si>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</si>
  <si>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</si>
  <si>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</si>
  <si>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</si>
  <si>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</si>
  <si>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</si>
  <si>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</si>
  <si>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</si>
  <si>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</si>
  <si>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</si>
  <si>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</si>
  <si>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</si>
  <si>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</si>
  <si>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</si>
  <si>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</si>
  <si>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</si>
  <si>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</si>
  <si>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</si>
  <si>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</si>
  <si>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</si>
  <si>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</si>
  <si>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</si>
  <si>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</si>
  <si>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</si>
  <si>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</si>
  <si>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</si>
  <si>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</si>
  <si>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</si>
  <si>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</si>
  <si>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</si>
  <si>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</si>
  <si>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</si>
  <si>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</si>
  <si>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</si>
  <si>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</si>
  <si>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</si>
  <si>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</si>
  <si>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</si>
  <si>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</si>
  <si>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</si>
  <si>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</si>
  <si>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</si>
  <si>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</si>
  <si>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</si>
  <si>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</si>
  <si>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</si>
  <si>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</si>
  <si>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</si>
  <si>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</si>
  <si>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</si>
  <si>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</si>
  <si>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</si>
  <si>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</si>
  <si>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</si>
  <si>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</si>
  <si>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</si>
  <si>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</si>
  <si>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</si>
  <si>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</si>
  <si>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</si>
  <si>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</si>
  <si>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</si>
  <si>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</si>
  <si>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</si>
  <si>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</si>
  <si>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</si>
  <si>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</si>
  <si>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</si>
  <si>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</si>
  <si>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</si>
  <si>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</si>
  <si>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</si>
  <si>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</si>
  <si>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</si>
  <si>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</si>
  <si>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</si>
  <si>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</si>
  <si>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</si>
  <si>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</si>
  <si>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</si>
  <si>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</si>
  <si>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</si>
  <si>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</si>
  <si>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</si>
  <si>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</si>
  <si>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</si>
  <si>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</si>
  <si>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</si>
  <si>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</si>
  <si>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</si>
  <si>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</si>
  <si>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</si>
  <si>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</si>
  <si>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</si>
  <si>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</si>
  <si>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</si>
  <si>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</si>
  <si>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</si>
  <si>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</si>
  <si>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</si>
  <si>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</si>
  <si>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</si>
  <si>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</si>
  <si>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</si>
  <si>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</si>
  <si>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</si>
  <si>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</si>
  <si>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</si>
  <si>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</si>
  <si>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</si>
  <si>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</si>
  <si>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</si>
  <si>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</si>
  <si>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</si>
  <si>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</si>
  <si>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</si>
  <si>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</si>
  <si>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</si>
  <si>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</si>
  <si>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</si>
  <si>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</si>
  <si>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</si>
  <si>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</si>
  <si>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</si>
  <si>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</si>
  <si>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</si>
  <si>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</si>
  <si>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</si>
  <si>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</si>
  <si>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</si>
  <si>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</si>
  <si>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</si>
  <si>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</si>
  <si>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</si>
  <si>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</si>
  <si>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</si>
  <si>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</si>
  <si>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</si>
  <si>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</si>
  <si>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</si>
  <si>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</si>
  <si>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</si>
  <si>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</si>
  <si>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</si>
  <si>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</si>
  <si>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</si>
  <si>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</si>
  <si>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</si>
  <si>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</si>
  <si>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</si>
  <si>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</si>
  <si>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</si>
  <si>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</si>
  <si>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</si>
  <si>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</si>
  <si>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</si>
  <si>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</si>
  <si>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</si>
  <si>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</si>
  <si>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</si>
  <si>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</si>
  <si>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</si>
  <si>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</si>
  <si>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</si>
  <si>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</si>
  <si>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</si>
  <si>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</si>
  <si>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</si>
  <si>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</si>
  <si>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</si>
  <si>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</si>
  <si>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</si>
  <si>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</si>
  <si>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</si>
  <si>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</si>
  <si>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</si>
  <si>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</si>
  <si>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</si>
  <si>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</si>
  <si>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</si>
  <si>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</si>
  <si>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</si>
  <si>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</si>
  <si>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</si>
  <si>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</si>
  <si>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</si>
  <si>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</si>
  <si>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</si>
  <si>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</si>
  <si>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</si>
  <si>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</si>
  <si>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</si>
  <si>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</si>
  <si>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</si>
  <si>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</si>
  <si>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</si>
  <si>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</si>
  <si>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</si>
  <si>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</si>
  <si>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</si>
  <si>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</si>
  <si>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</si>
  <si>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</si>
  <si>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</si>
  <si>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</si>
  <si>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</si>
  <si>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</si>
  <si>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</si>
  <si>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</si>
  <si>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</si>
  <si>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</si>
  <si>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</si>
  <si>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</si>
  <si>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</si>
  <si>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</si>
  <si>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</si>
  <si>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</si>
  <si>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</si>
  <si>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</si>
  <si>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</si>
  <si>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</si>
  <si>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</si>
  <si>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</si>
  <si>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</si>
  <si>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</si>
  <si>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</si>
  <si>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</si>
  <si>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</si>
  <si>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</si>
  <si>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</si>
  <si>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</si>
  <si>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</si>
  <si>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</si>
  <si>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</si>
  <si>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</si>
  <si>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</si>
  <si>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</si>
  <si>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</si>
  <si>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</si>
  <si>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</si>
  <si>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</si>
  <si>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</si>
  <si>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</si>
  <si>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</si>
  <si>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</si>
  <si>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</si>
  <si>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</si>
  <si>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</si>
  <si>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</si>
  <si>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</si>
  <si>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</si>
  <si>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</si>
  <si>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</si>
  <si>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</si>
  <si>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</si>
  <si>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</si>
  <si>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</si>
  <si>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</si>
  <si>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</si>
  <si>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</si>
  <si>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</si>
  <si>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</si>
  <si>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</si>
  <si>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</si>
  <si>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</si>
  <si>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</si>
  <si>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</si>
  <si>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</si>
  <si>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</si>
  <si>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</si>
  <si>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</si>
  <si>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</si>
  <si>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</si>
  <si>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</si>
  <si>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</si>
  <si>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</si>
  <si>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</si>
  <si>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</si>
  <si>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</si>
  <si>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</si>
  <si>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</si>
  <si>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</si>
  <si>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</si>
  <si>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</si>
  <si>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</si>
  <si>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</si>
  <si>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</si>
  <si>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</si>
  <si>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</si>
  <si>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</si>
  <si>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</si>
  <si>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</si>
  <si>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</si>
  <si>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</si>
  <si>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</si>
  <si>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</si>
  <si>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</si>
  <si>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</si>
  <si>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</si>
  <si>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</si>
  <si>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</si>
  <si>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</si>
  <si>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</si>
  <si>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</si>
  <si>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</si>
  <si>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</si>
  <si>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</si>
  <si>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</si>
  <si>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</si>
  <si>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</si>
  <si>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</si>
  <si>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</si>
  <si>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</si>
  <si>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</si>
  <si>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</si>
  <si>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</si>
  <si>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</si>
  <si>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</si>
  <si>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</si>
  <si>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</si>
  <si>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</si>
  <si>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</si>
  <si>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</si>
  <si>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</si>
  <si>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</si>
  <si>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</si>
  <si>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</si>
  <si>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</si>
  <si>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</si>
  <si>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</si>
  <si>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</si>
  <si>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</si>
  <si>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</si>
  <si>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</si>
  <si>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</si>
  <si>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</si>
  <si>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</si>
  <si>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</si>
  <si>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</si>
  <si>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</si>
  <si>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</si>
  <si>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</si>
  <si>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</si>
  <si>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</si>
  <si>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</si>
  <si>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</si>
  <si>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</si>
  <si>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</si>
  <si>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</si>
  <si>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</si>
  <si>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</si>
  <si>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</si>
  <si>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</si>
  <si>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</si>
  <si>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</si>
  <si>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</si>
  <si>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</si>
  <si>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</si>
  <si>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</si>
  <si>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</si>
  <si>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</si>
  <si>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</si>
  <si>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</si>
  <si>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</si>
  <si>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</si>
  <si>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</si>
  <si>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</si>
  <si>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</si>
  <si>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</si>
  <si>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</si>
  <si>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</si>
  <si>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</si>
  <si>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</si>
  <si>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</si>
  <si>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</si>
  <si>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</si>
  <si>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</si>
  <si>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</si>
  <si>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</si>
  <si>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</si>
  <si>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</si>
  <si>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</si>
  <si>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</si>
  <si>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</si>
  <si>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</si>
  <si>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</si>
  <si>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</si>
  <si>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</si>
  <si>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</si>
  <si>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</si>
  <si>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</si>
  <si>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</si>
  <si>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</si>
  <si>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</si>
  <si>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</si>
  <si>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</si>
  <si>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</si>
  <si>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</si>
  <si>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</si>
  <si>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</si>
  <si>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</si>
  <si>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</si>
  <si>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</si>
  <si>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</si>
  <si>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</si>
  <si>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</si>
  <si>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</si>
  <si>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</si>
  <si>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</si>
  <si>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</si>
  <si>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</si>
  <si>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</si>
  <si>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</si>
  <si>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</si>
  <si>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</si>
  <si>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</si>
  <si>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</si>
  <si>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</si>
  <si>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</si>
  <si>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</si>
  <si>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</si>
  <si>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</si>
  <si>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</si>
  <si>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</si>
  <si>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</si>
  <si>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</si>
  <si>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</si>
  <si>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</si>
  <si>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</si>
  <si>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</si>
  <si>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</si>
  <si>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</si>
  <si>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</si>
  <si>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</si>
  <si>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</si>
  <si>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</si>
  <si>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</si>
  <si>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</si>
  <si>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</si>
  <si>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</si>
  <si>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</si>
  <si>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</si>
  <si>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</si>
  <si>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</si>
  <si>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</si>
  <si>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</si>
  <si>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</si>
  <si>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</si>
  <si>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</si>
  <si>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</si>
  <si>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</si>
  <si>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</si>
  <si>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</si>
  <si>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</si>
  <si>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</si>
  <si>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</si>
  <si>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</si>
  <si>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</si>
  <si>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</si>
  <si>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</si>
  <si>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</si>
  <si>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</si>
  <si>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</si>
  <si>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</si>
  <si>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</si>
  <si>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</si>
  <si>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</si>
  <si>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</si>
  <si>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</si>
  <si>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</si>
  <si>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</si>
  <si>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</si>
  <si>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</si>
  <si>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</si>
  <si>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</si>
  <si>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</si>
  <si>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</si>
  <si>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</si>
  <si>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</si>
  <si>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</si>
  <si>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</si>
  <si>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</si>
  <si>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</si>
  <si>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</si>
  <si>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</si>
  <si>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</si>
  <si>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</si>
  <si>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</si>
  <si>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</si>
  <si>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</si>
  <si>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</si>
  <si>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</si>
  <si>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</si>
  <si>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</si>
  <si>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</si>
  <si>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</si>
  <si>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</si>
  <si>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</si>
  <si>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</si>
  <si>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</si>
  <si>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</si>
  <si>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</si>
  <si>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</si>
  <si>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</si>
  <si>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</si>
  <si>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</si>
  <si>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</si>
  <si>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</si>
  <si>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</si>
  <si>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</si>
  <si>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</si>
  <si>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</si>
  <si>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</si>
  <si>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</si>
  <si>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</si>
  <si>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</si>
  <si>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</si>
  <si>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</si>
  <si>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</si>
  <si>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</si>
  <si>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</si>
  <si>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</si>
  <si>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</si>
  <si>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</si>
  <si>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</si>
  <si>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</si>
  <si>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</si>
  <si>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</si>
  <si>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</si>
  <si>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</si>
  <si>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</si>
  <si>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</si>
  <si>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</si>
  <si>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</si>
  <si>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</si>
  <si>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</si>
  <si>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</si>
  <si>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</si>
  <si>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</si>
  <si>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</si>
  <si>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</si>
  <si>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</si>
  <si>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</si>
  <si>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</si>
  <si>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</si>
  <si>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</si>
  <si>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</si>
  <si>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</si>
  <si>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</si>
  <si>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</si>
  <si>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</si>
  <si>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</si>
  <si>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</si>
  <si>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</si>
  <si>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</si>
  <si>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</si>
  <si>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</si>
  <si>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</si>
  <si>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</si>
  <si>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</si>
  <si>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</si>
  <si>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</si>
  <si>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</si>
  <si>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</si>
  <si>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</si>
  <si>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</si>
  <si>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</si>
  <si>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</si>
  <si>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</si>
  <si>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</si>
  <si>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</si>
  <si>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</si>
  <si>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</si>
  <si>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</si>
  <si>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</si>
  <si>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</si>
  <si>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</si>
  <si>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</si>
  <si>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</si>
  <si>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</si>
  <si>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</si>
  <si>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</si>
  <si>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</si>
  <si>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</si>
  <si>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</si>
  <si>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</si>
  <si>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</si>
  <si>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</si>
  <si>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</si>
  <si>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</si>
  <si>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</si>
  <si>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</si>
  <si>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</si>
  <si>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</si>
  <si>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</si>
  <si>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</si>
  <si>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</si>
  <si>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</si>
  <si>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</si>
  <si>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</si>
  <si>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</si>
  <si>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</si>
  <si>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</si>
  <si>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</si>
  <si>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</si>
  <si>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</si>
  <si>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</si>
  <si>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</si>
  <si>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</si>
  <si>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</si>
  <si>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</si>
  <si>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</si>
  <si>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</si>
  <si>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</si>
  <si>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</si>
  <si>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</si>
  <si>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</si>
  <si>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</si>
  <si>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</si>
  <si>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</si>
  <si>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</si>
  <si>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</si>
  <si>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</si>
  <si>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</si>
  <si>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</si>
  <si>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</si>
  <si>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</si>
  <si>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</si>
  <si>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</si>
  <si>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</si>
  <si>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</si>
  <si>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</si>
  <si>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</si>
  <si>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</si>
  <si>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</si>
  <si>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</si>
  <si>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</si>
  <si>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</si>
  <si>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</si>
  <si>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</si>
  <si>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</si>
  <si>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</si>
  <si>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</si>
  <si>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</si>
  <si>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</si>
  <si>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</si>
  <si>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</si>
  <si>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</si>
  <si>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</si>
  <si>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</si>
  <si>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</si>
  <si>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</si>
  <si>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</si>
  <si>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</si>
  <si>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</si>
  <si>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</si>
  <si>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</si>
  <si>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</si>
  <si>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</si>
  <si>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</si>
  <si>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</si>
  <si>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</si>
  <si>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</si>
  <si>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</si>
  <si>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</si>
  <si>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</si>
  <si>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</si>
  <si>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</si>
  <si>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</si>
  <si>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</si>
  <si>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</si>
  <si>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</si>
  <si>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</si>
  <si>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</si>
  <si>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</si>
  <si>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</si>
  <si>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</si>
  <si>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</si>
  <si>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</si>
  <si>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</si>
  <si>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</si>
  <si>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</si>
  <si>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</si>
  <si>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</si>
  <si>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</si>
  <si>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</si>
  <si>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</si>
  <si>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</si>
  <si>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</si>
  <si>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</si>
  <si>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</si>
  <si>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</si>
  <si>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</si>
  <si>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</si>
  <si>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</si>
  <si>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</si>
  <si>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</si>
  <si>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</si>
  <si>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</si>
  <si>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</si>
  <si>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</si>
  <si>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</si>
  <si>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</si>
  <si>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</si>
  <si>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</si>
  <si>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</si>
  <si>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</si>
  <si>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</si>
  <si>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</si>
  <si>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</si>
  <si>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</si>
  <si>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</si>
  <si>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</si>
  <si>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</si>
  <si>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</si>
  <si>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</si>
  <si>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</si>
  <si>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</si>
  <si>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</si>
  <si>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</si>
  <si>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</si>
  <si>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</si>
  <si>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</si>
  <si>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</si>
  <si>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</si>
  <si>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</si>
  <si>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</si>
  <si>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</si>
  <si>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</si>
  <si>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</si>
  <si>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</si>
  <si>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</si>
  <si>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</si>
  <si>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</si>
  <si>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</si>
  <si>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</si>
  <si>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</si>
  <si>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</si>
  <si>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</si>
  <si>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</si>
  <si>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</si>
  <si>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</si>
  <si>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</si>
  <si>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</si>
  <si>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</si>
  <si>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</si>
  <si>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</si>
  <si>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</si>
  <si>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</si>
  <si>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</si>
  <si>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</si>
  <si>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</si>
  <si>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</si>
  <si>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</si>
  <si>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</si>
  <si>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</si>
  <si>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</si>
  <si>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</si>
  <si>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</si>
  <si>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</si>
  <si>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</si>
  <si>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</si>
  <si>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</si>
  <si>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</si>
  <si>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</si>
  <si>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</si>
  <si>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</si>
  <si>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</si>
  <si>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</si>
  <si>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</si>
  <si>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</si>
  <si>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</si>
  <si>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</si>
  <si>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</si>
  <si>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</si>
  <si>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</si>
  <si>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</si>
  <si>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</si>
  <si>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</si>
  <si>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</si>
  <si>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</si>
  <si>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</si>
  <si>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</si>
  <si>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</si>
  <si>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</si>
  <si>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</si>
  <si>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</si>
  <si>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</si>
  <si>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</si>
  <si>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</si>
  <si>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</si>
  <si>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</si>
  <si>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</si>
  <si>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</si>
  <si>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</si>
  <si>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</si>
  <si>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</si>
  <si>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</si>
  <si>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</si>
  <si>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</si>
  <si>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</si>
  <si>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</si>
  <si>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</si>
  <si>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</si>
  <si>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</si>
  <si>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</si>
  <si>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</si>
  <si>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</si>
  <si>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</si>
  <si>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</si>
  <si>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</si>
  <si>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</si>
  <si>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</si>
  <si>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</si>
  <si>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</si>
  <si>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</si>
  <si>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</si>
  <si>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</si>
  <si>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</si>
  <si>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</si>
  <si>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</si>
  <si>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</si>
  <si>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</si>
  <si>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</si>
  <si>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</si>
  <si>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</si>
  <si>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</si>
  <si>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</si>
  <si>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</si>
  <si>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</si>
  <si>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</si>
  <si>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</si>
  <si>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</si>
  <si>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</si>
  <si>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</si>
  <si>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</si>
  <si>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</si>
  <si>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</si>
  <si>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</si>
  <si>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</si>
  <si>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</si>
  <si>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</si>
  <si>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</si>
  <si>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</si>
  <si>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</si>
  <si>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</si>
  <si>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</si>
  <si>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</si>
  <si>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</si>
  <si>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</si>
  <si>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</si>
  <si>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</si>
  <si>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</si>
  <si>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</si>
  <si>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</si>
  <si>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</si>
  <si>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</si>
  <si>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</si>
  <si>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</si>
  <si>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</si>
  <si>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</si>
  <si>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</si>
  <si>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</si>
  <si>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</si>
  <si>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</si>
  <si>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</si>
  <si>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</si>
  <si>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</si>
  <si>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</si>
  <si>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</si>
  <si>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</si>
  <si>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</si>
  <si>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</si>
  <si>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</si>
  <si>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</si>
  <si>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</si>
  <si>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</si>
  <si>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</si>
  <si>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</si>
  <si>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</si>
  <si>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</si>
  <si>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</si>
  <si>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</si>
  <si>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</si>
  <si>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</si>
  <si>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</si>
  <si>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</si>
  <si>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</si>
  <si>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</si>
  <si>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</si>
  <si>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</si>
  <si>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</si>
  <si>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</si>
  <si>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</si>
  <si>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</si>
  <si>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</si>
  <si>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</si>
  <si>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</si>
  <si>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</si>
  <si>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</si>
  <si>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</si>
  <si>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</si>
  <si>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</si>
  <si>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</si>
  <si>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</si>
  <si>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</si>
  <si>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</si>
  <si>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</si>
  <si>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</si>
  <si>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</si>
  <si>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</si>
  <si>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</si>
  <si>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</si>
  <si>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</si>
  <si>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</si>
  <si>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</si>
  <si>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</si>
  <si>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</si>
  <si>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</si>
  <si>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</si>
  <si>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</si>
  <si>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</si>
  <si>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</si>
  <si>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</si>
  <si>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</si>
  <si>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</si>
  <si>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</si>
  <si>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</si>
  <si>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</si>
  <si>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</si>
  <si>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</si>
  <si>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</si>
  <si>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</si>
  <si>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</si>
  <si>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</si>
  <si>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</si>
  <si>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</si>
  <si>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</si>
  <si>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</si>
  <si>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</si>
  <si>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</si>
  <si>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</si>
  <si>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</si>
  <si>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</si>
  <si>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</si>
  <si>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</si>
  <si>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</si>
  <si>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</si>
  <si>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</si>
  <si>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</si>
  <si>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</si>
  <si>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</si>
  <si>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</si>
  <si>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</si>
  <si>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</si>
  <si>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</si>
  <si>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</si>
  <si>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</si>
  <si>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</si>
  <si>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</si>
  <si>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</si>
  <si>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</si>
  <si>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</si>
  <si>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</si>
  <si>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</si>
  <si>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</si>
  <si>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</si>
  <si>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</si>
  <si>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</si>
  <si>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</si>
  <si>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</si>
  <si>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</si>
  <si>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</si>
  <si>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</si>
  <si>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</si>
  <si>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</si>
  <si>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</si>
  <si>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</si>
  <si>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</si>
  <si>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</si>
  <si>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</si>
  <si>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</si>
  <si>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</si>
  <si>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</si>
  <si>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</si>
  <si>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</si>
  <si>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</si>
  <si>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</si>
  <si>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</si>
  <si>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</si>
  <si>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</si>
  <si>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</si>
  <si>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</si>
  <si>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</si>
  <si>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</si>
  <si>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</si>
  <si>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</si>
  <si>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</si>
  <si>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</si>
  <si>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</si>
  <si>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</si>
  <si>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</si>
  <si>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</si>
  <si>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</si>
  <si>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</si>
  <si>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</si>
  <si>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</si>
  <si>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</si>
  <si>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</si>
  <si>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</si>
  <si>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</si>
  <si>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</si>
  <si>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</si>
  <si>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</si>
  <si>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</si>
  <si>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</si>
  <si>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</si>
  <si>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</si>
  <si>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</si>
  <si>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</si>
  <si>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</si>
  <si>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</si>
  <si>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</si>
  <si>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</si>
  <si>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</si>
  <si>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</si>
  <si>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</si>
  <si>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</si>
  <si>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</si>
  <si>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</si>
  <si>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</si>
  <si>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</si>
  <si>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</si>
  <si>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</si>
  <si>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</si>
  <si>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</si>
  <si>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</si>
  <si>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</si>
  <si>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</si>
  <si>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</si>
  <si>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</si>
  <si>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</si>
  <si>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</si>
  <si>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</si>
  <si>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</si>
  <si>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</si>
  <si>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</si>
  <si>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</si>
  <si>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</si>
  <si>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</si>
  <si>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</si>
  <si>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</si>
  <si>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</si>
  <si>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</si>
  <si>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</si>
  <si>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</si>
  <si>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</si>
  <si>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</si>
  <si>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</si>
  <si>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</si>
  <si>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</si>
  <si>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</si>
  <si>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</si>
  <si>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</si>
  <si>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</si>
  <si>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</si>
  <si>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</si>
  <si>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</si>
  <si>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</si>
  <si>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</si>
  <si>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</si>
  <si>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</si>
  <si>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</si>
  <si>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</si>
  <si>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</si>
  <si>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</si>
  <si>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</si>
  <si>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</si>
  <si>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</si>
  <si>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</si>
  <si>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</si>
  <si>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</si>
  <si>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</si>
  <si>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</si>
  <si>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</si>
  <si>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</si>
  <si>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</si>
  <si>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</si>
  <si>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</si>
  <si>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</si>
  <si>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</si>
  <si>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</si>
  <si>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</si>
  <si>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</si>
  <si>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</si>
  <si>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</si>
  <si>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</si>
  <si>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</si>
  <si>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</si>
  <si>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</si>
  <si>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</si>
  <si>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</si>
  <si>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</si>
  <si>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</si>
  <si>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</si>
  <si>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</si>
  <si>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</si>
  <si>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</si>
  <si>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</si>
  <si>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</si>
  <si>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</si>
  <si>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</si>
  <si>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</si>
  <si>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</si>
  <si>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</si>
  <si>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</si>
  <si>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</si>
  <si>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</si>
  <si>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</si>
  <si>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</si>
  <si>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</si>
  <si>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</si>
  <si>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</si>
  <si>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</si>
  <si>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</si>
  <si>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</si>
  <si>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</si>
  <si>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</si>
  <si>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</si>
  <si>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</si>
  <si>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</si>
  <si>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</si>
  <si>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</si>
  <si>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</si>
  <si>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</si>
  <si>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</si>
  <si>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</si>
  <si>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</si>
  <si>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</si>
  <si>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</si>
  <si>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</si>
  <si>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</si>
  <si>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</si>
  <si>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</si>
  <si>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</si>
  <si>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</si>
  <si>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</si>
  <si>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</si>
  <si>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</si>
  <si>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</si>
  <si>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</si>
  <si>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</si>
  <si>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</si>
  <si>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</si>
  <si>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</si>
  <si>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</si>
  <si>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</si>
  <si>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</si>
  <si>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</si>
  <si>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</si>
  <si>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</si>
  <si>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</si>
  <si>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</si>
  <si>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</si>
  <si>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</si>
  <si>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</si>
  <si>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</si>
  <si>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</si>
  <si>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</si>
  <si>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</si>
  <si>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</si>
  <si>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</si>
  <si>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</si>
  <si>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</si>
  <si>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</si>
  <si>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</si>
  <si>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</si>
  <si>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</si>
  <si>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</si>
  <si>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</si>
  <si>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</si>
  <si>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</si>
  <si>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</si>
  <si>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</si>
  <si>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</si>
  <si>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</si>
  <si>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</si>
  <si>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</si>
  <si>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</si>
  <si>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</si>
  <si>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</si>
  <si>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</si>
  <si>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</si>
  <si>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</si>
  <si>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</si>
  <si>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</si>
  <si>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</si>
  <si>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</si>
  <si>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</si>
  <si>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</si>
  <si>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</si>
  <si>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</si>
  <si>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</si>
  <si>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</si>
  <si>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</si>
  <si>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</si>
  <si>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</si>
  <si>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</si>
  <si>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</si>
  <si>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</si>
  <si>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</si>
  <si>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</si>
  <si>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</si>
  <si>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</si>
  <si>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</si>
  <si>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</si>
  <si>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</si>
  <si>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</si>
  <si>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</si>
  <si>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</si>
  <si>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</si>
  <si>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</si>
  <si>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</si>
  <si>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</si>
  <si>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</si>
  <si>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</si>
  <si>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</si>
  <si>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</si>
  <si>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</si>
  <si>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</si>
  <si>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</si>
  <si>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</si>
  <si>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</si>
  <si>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</si>
  <si>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</si>
  <si>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</si>
  <si>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</si>
  <si>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</si>
  <si>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</si>
  <si>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</si>
  <si>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</si>
  <si>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</si>
  <si>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</si>
  <si>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</si>
  <si>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</si>
  <si>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</si>
  <si>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</si>
  <si>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</si>
  <si>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</si>
  <si>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</si>
  <si>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</si>
  <si>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</si>
  <si>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</si>
  <si>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</si>
  <si>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</si>
  <si>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</si>
  <si>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</si>
  <si>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</si>
  <si>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</si>
  <si>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</si>
  <si>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</si>
  <si>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</si>
  <si>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</si>
  <si>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</si>
  <si>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</si>
  <si>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</si>
  <si>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</si>
  <si>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</si>
  <si>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</si>
  <si>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</si>
  <si>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</si>
  <si>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</si>
  <si>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</si>
  <si>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</si>
  <si>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</si>
  <si>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</si>
  <si>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</si>
  <si>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</si>
  <si>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</si>
  <si>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</si>
  <si>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</si>
  <si>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</si>
  <si>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</si>
  <si>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</si>
  <si>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</si>
  <si>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</si>
  <si>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</si>
  <si>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</si>
  <si>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</si>
  <si>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</si>
  <si>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</si>
  <si>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</si>
  <si>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</si>
  <si>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</si>
  <si>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</si>
  <si>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</si>
  <si>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</si>
  <si>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</si>
  <si>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</si>
  <si>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</si>
  <si>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</si>
  <si>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</si>
  <si>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</si>
  <si>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</si>
  <si>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</si>
  <si>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</si>
  <si>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</si>
  <si>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</si>
  <si>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</si>
  <si>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</si>
  <si>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</si>
  <si>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</si>
  <si>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</si>
  <si>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</si>
  <si>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</si>
  <si>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</si>
  <si>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</si>
  <si>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</si>
  <si>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</si>
  <si>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</si>
  <si>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</si>
  <si>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</si>
  <si>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</si>
  <si>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</si>
  <si>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</si>
  <si>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</si>
  <si>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</si>
  <si>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</si>
  <si>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</si>
  <si>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</si>
  <si>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</si>
  <si>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</si>
  <si>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</si>
  <si>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</si>
  <si>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</si>
  <si>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</si>
  <si>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</si>
  <si>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</si>
  <si>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</si>
  <si>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</si>
  <si>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</si>
  <si>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</si>
  <si>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</si>
  <si>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</si>
  <si>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</si>
  <si>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</si>
  <si>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</si>
  <si>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</si>
  <si>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</si>
  <si>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</si>
  <si>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</si>
  <si>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</si>
  <si>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</si>
  <si>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</si>
  <si>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</si>
  <si>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</si>
  <si>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</si>
  <si>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</si>
  <si>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</si>
  <si>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</si>
  <si>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</si>
  <si>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</si>
  <si>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</si>
  <si>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</si>
  <si>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</si>
  <si>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</si>
  <si>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</si>
  <si>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</si>
  <si>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</si>
  <si>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</si>
  <si>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</si>
  <si>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</si>
  <si>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</si>
  <si>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</si>
  <si>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</si>
  <si>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</si>
  <si>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</si>
  <si>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</si>
  <si>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</si>
  <si>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</si>
  <si>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</si>
  <si>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</si>
  <si>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</si>
  <si>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</si>
  <si>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</si>
  <si>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</si>
  <si>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</si>
  <si>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</si>
  <si>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</si>
  <si>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</si>
  <si>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</si>
  <si>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</si>
  <si>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</si>
  <si>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</si>
  <si>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</si>
  <si>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</si>
  <si>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</si>
  <si>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</si>
  <si>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</si>
  <si>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</si>
  <si>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</si>
  <si>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</si>
  <si>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</si>
  <si>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</si>
  <si>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</si>
  <si>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</si>
  <si>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</si>
  <si>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</si>
  <si>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</si>
  <si>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</si>
  <si>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</si>
  <si>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</si>
  <si>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</si>
  <si>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</si>
  <si>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</si>
  <si>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</si>
  <si>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</si>
  <si>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</si>
  <si>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</si>
  <si>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</si>
  <si>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</si>
  <si>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</si>
  <si>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</si>
  <si>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</si>
  <si>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</si>
  <si>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</si>
  <si>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</si>
  <si>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</si>
  <si>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</si>
  <si>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</si>
  <si>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</si>
  <si>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</si>
  <si>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</si>
  <si>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</si>
  <si>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</si>
  <si>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</si>
  <si>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</si>
  <si>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</si>
  <si>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</si>
  <si>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</si>
  <si>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</si>
  <si>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</si>
  <si>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</si>
  <si>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</si>
  <si>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</si>
  <si>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</si>
  <si>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</si>
  <si>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</si>
  <si>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</si>
  <si>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</si>
  <si>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</si>
  <si>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</si>
  <si>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</si>
  <si>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</si>
  <si>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</si>
  <si>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</si>
  <si>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</si>
  <si>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</si>
  <si>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</si>
  <si>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</si>
  <si>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</si>
  <si>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</si>
  <si>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</si>
  <si>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</si>
  <si>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</si>
  <si>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</si>
  <si>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</si>
  <si>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</si>
  <si>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</si>
  <si>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</si>
  <si>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</si>
  <si>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</si>
  <si>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</si>
  <si>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</si>
  <si>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</si>
  <si>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</si>
  <si>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</si>
  <si>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</si>
  <si>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</si>
  <si>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</si>
  <si>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</si>
  <si>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</si>
  <si>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</si>
  <si>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</si>
  <si>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</si>
  <si>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</si>
  <si>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</si>
  <si>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</si>
  <si>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</si>
  <si>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</si>
  <si>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</si>
  <si>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</si>
  <si>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</si>
  <si>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</si>
  <si>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</si>
  <si>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</si>
  <si>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</si>
  <si>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</si>
  <si>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</si>
  <si>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</si>
  <si>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</si>
  <si>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</si>
  <si>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</si>
  <si>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</si>
  <si>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</si>
  <si>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</si>
  <si>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</si>
  <si>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</si>
  <si>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</si>
  <si>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</si>
  <si>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</si>
  <si>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</si>
  <si>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</si>
  <si>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</si>
  <si>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</si>
  <si>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</si>
  <si>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</si>
  <si>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</si>
  <si>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</si>
  <si>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</si>
  <si>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</si>
  <si>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</si>
  <si>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</si>
  <si>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</si>
  <si>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</si>
  <si>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</si>
  <si>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</si>
  <si>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</si>
  <si>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</si>
  <si>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</si>
  <si>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</si>
  <si>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</si>
  <si>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</si>
  <si>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</si>
  <si>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</si>
  <si>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</si>
  <si>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</si>
  <si>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</si>
  <si>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</si>
  <si>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</si>
  <si>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</si>
  <si>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</si>
  <si>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</si>
  <si>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</si>
  <si>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</si>
  <si>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</si>
  <si>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</si>
  <si>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</si>
  <si>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</si>
  <si>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</si>
  <si>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</si>
  <si>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</si>
  <si>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</si>
  <si>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</si>
  <si>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</si>
  <si>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</si>
  <si>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</si>
  <si>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</si>
  <si>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</si>
  <si>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</si>
  <si>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</si>
  <si>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</si>
  <si>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</si>
  <si>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</si>
  <si>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</si>
  <si>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</si>
  <si>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</si>
  <si>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</si>
  <si>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</si>
  <si>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</si>
  <si>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</si>
  <si>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</si>
  <si>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</si>
  <si>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</si>
  <si>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</si>
  <si>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</si>
  <si>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</si>
  <si>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</si>
  <si>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</si>
  <si>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</si>
  <si>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</si>
  <si>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</si>
  <si>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</si>
  <si>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</si>
  <si>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</si>
  <si>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</si>
  <si>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</si>
  <si>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</si>
  <si>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</si>
  <si>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</si>
  <si>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</si>
  <si>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</si>
  <si>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</si>
  <si>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</si>
  <si>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</si>
  <si>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</si>
  <si>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</si>
  <si>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</si>
  <si>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</si>
  <si>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</si>
  <si>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</si>
  <si>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</si>
  <si>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</si>
  <si>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</si>
  <si>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</si>
  <si>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</si>
  <si>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</si>
  <si>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</si>
  <si>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</si>
  <si>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</si>
  <si>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</si>
  <si>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</si>
  <si>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</si>
  <si>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</si>
  <si>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</si>
  <si>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</si>
  <si>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</si>
  <si>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</si>
  <si>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</si>
  <si>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</si>
  <si>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</si>
  <si>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</si>
  <si>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</si>
  <si>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</si>
  <si>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</si>
  <si>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</si>
  <si>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</si>
  <si>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</si>
  <si>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</si>
  <si>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</si>
  <si>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</si>
  <si>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</si>
  <si>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</si>
  <si>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</si>
  <si>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</si>
  <si>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</si>
  <si>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</si>
  <si>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</si>
  <si>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</si>
  <si>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</si>
  <si>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</si>
  <si>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</si>
  <si>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</si>
  <si>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</si>
  <si>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</si>
  <si>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</si>
  <si>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</si>
  <si>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</si>
  <si>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</si>
  <si>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</si>
  <si>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</si>
  <si>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</si>
  <si>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</si>
  <si>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</si>
  <si>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</si>
  <si>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</si>
  <si>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</si>
  <si>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</si>
  <si>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</si>
  <si>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</si>
  <si>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</si>
  <si>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</si>
  <si>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</si>
  <si>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</si>
  <si>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</si>
  <si>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</si>
  <si>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</si>
  <si>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</si>
  <si>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</si>
  <si>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</si>
  <si>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</si>
  <si>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</si>
  <si>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</si>
  <si>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</si>
  <si>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</si>
  <si>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</si>
  <si>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</si>
  <si>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</si>
  <si>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</si>
  <si>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</si>
  <si>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</si>
  <si>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</si>
  <si>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</si>
  <si>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</si>
  <si>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</si>
  <si>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</si>
  <si>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</si>
  <si>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</si>
  <si>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</si>
  <si>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</si>
  <si>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</si>
  <si>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</si>
  <si>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</si>
  <si>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</si>
  <si>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</si>
  <si>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</si>
  <si>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</si>
  <si>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</si>
  <si>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</si>
  <si>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</si>
  <si>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</si>
  <si>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</si>
  <si>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</si>
  <si>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</si>
  <si>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</si>
  <si>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</si>
  <si>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</si>
  <si>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</si>
  <si>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</si>
  <si>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</si>
  <si>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</si>
  <si>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</si>
  <si>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</si>
  <si>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</si>
  <si>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</si>
  <si>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</si>
  <si>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</si>
  <si>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</si>
  <si>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</si>
  <si>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</si>
  <si>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</si>
  <si>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</si>
  <si>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</si>
  <si>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</si>
  <si>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</si>
  <si>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</si>
  <si>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</si>
  <si>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</si>
  <si>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</si>
  <si>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</si>
  <si>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</si>
  <si>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</si>
  <si>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</si>
  <si>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</si>
  <si>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</si>
  <si>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</si>
  <si>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</si>
  <si>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</si>
  <si>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</si>
  <si>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</si>
  <si>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</si>
  <si>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</si>
  <si>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</si>
  <si>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</si>
  <si>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</si>
  <si>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</si>
  <si>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</si>
  <si>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</si>
  <si>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</si>
  <si>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</si>
  <si>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</si>
  <si>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</si>
  <si>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</si>
  <si>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</si>
  <si>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</si>
  <si>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</si>
  <si>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</si>
  <si>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</si>
  <si>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</si>
  <si>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</si>
  <si>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</si>
  <si>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</si>
  <si>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</si>
  <si>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</si>
  <si>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</si>
  <si>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</si>
  <si>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</si>
  <si>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</si>
  <si>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</si>
  <si>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</si>
  <si>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</si>
  <si>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</si>
  <si>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</si>
  <si>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</si>
  <si>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</si>
  <si>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</si>
  <si>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</si>
  <si>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</si>
  <si>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</si>
  <si>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</si>
  <si>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</si>
  <si>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</si>
  <si>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</si>
  <si>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</si>
  <si>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</si>
  <si>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</si>
  <si>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</si>
  <si>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</si>
  <si>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</si>
  <si>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</si>
  <si>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</si>
  <si>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</si>
  <si>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</si>
  <si>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</si>
  <si>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</si>
  <si>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</si>
  <si>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</si>
  <si>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</si>
  <si>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</si>
  <si>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</si>
  <si>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</si>
  <si>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</si>
  <si>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</si>
  <si>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</si>
  <si>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</si>
  <si>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</si>
  <si>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</si>
  <si>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</si>
  <si>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</si>
  <si>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</si>
  <si>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</si>
  <si>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</si>
  <si>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</si>
  <si>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</si>
  <si>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</si>
  <si>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</si>
  <si>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</si>
  <si>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</si>
  <si>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</si>
  <si>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</si>
  <si>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</si>
  <si>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</si>
  <si>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</si>
  <si>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</si>
  <si>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</si>
  <si>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</si>
  <si>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</si>
  <si>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</si>
  <si>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</si>
  <si>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</si>
  <si>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</si>
  <si>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</si>
  <si>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</si>
  <si>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</si>
  <si>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</si>
  <si>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</si>
  <si>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</si>
  <si>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</si>
  <si>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</si>
  <si>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</si>
  <si>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</si>
  <si>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</si>
  <si>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</si>
  <si>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</si>
  <si>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</si>
  <si>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</si>
  <si>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</si>
  <si>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</si>
  <si>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</si>
  <si>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</si>
  <si>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</si>
  <si>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</si>
  <si>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</si>
  <si>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</si>
  <si>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</si>
  <si>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</si>
  <si>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</si>
  <si>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</si>
  <si>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</si>
  <si>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</si>
  <si>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</si>
  <si>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</si>
  <si>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</si>
  <si>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</si>
  <si>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</si>
  <si>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</si>
  <si>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</si>
  <si>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</si>
  <si>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</si>
  <si>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</si>
  <si>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</si>
  <si>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</si>
  <si>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</si>
  <si>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</si>
  <si>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</si>
  <si>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</si>
  <si>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</si>
  <si>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</si>
  <si>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</si>
  <si>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</si>
  <si>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</si>
  <si>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</si>
  <si>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</si>
  <si>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</si>
  <si>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</si>
  <si>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</si>
  <si>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</si>
  <si>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</si>
  <si>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</si>
  <si>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</si>
  <si>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</si>
  <si>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</si>
  <si>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</si>
  <si>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</si>
  <si>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</si>
  <si>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</si>
  <si>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</si>
  <si>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</si>
  <si>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</si>
  <si>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</si>
  <si>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</si>
  <si>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</si>
  <si>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</si>
  <si>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</si>
  <si>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</si>
  <si>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</si>
  <si>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</si>
  <si>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</si>
  <si>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</si>
  <si>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</si>
  <si>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</si>
  <si>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</si>
  <si>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</si>
  <si>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</si>
  <si>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</si>
  <si>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</si>
  <si>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</si>
  <si>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</si>
  <si>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</si>
  <si>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</si>
  <si>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</si>
  <si>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</si>
  <si>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</si>
  <si>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</si>
  <si>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</si>
  <si>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</si>
  <si>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</si>
  <si>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</si>
  <si>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</si>
  <si>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</si>
  <si>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</si>
  <si>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</si>
  <si>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</si>
  <si>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</si>
  <si>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</si>
  <si>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</si>
  <si>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</si>
  <si>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</si>
  <si>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</si>
  <si>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</si>
  <si>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</si>
  <si>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</si>
  <si>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</si>
  <si>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</si>
  <si>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</si>
  <si>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</si>
  <si>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</si>
  <si>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</si>
  <si>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</si>
  <si>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</si>
  <si>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</si>
  <si>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</si>
  <si>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</si>
  <si>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</si>
  <si>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</si>
  <si>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</si>
  <si>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</si>
  <si>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</si>
  <si>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</si>
  <si>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</si>
  <si>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</si>
  <si>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</si>
  <si>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</si>
  <si>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</si>
  <si>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</si>
  <si>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</si>
  <si>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</si>
  <si>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</si>
  <si>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</si>
  <si>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</si>
  <si>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</si>
  <si>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</si>
  <si>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</si>
  <si>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</si>
  <si>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</si>
  <si>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</si>
  <si>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</si>
  <si>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</si>
  <si>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</si>
  <si>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</si>
  <si>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</si>
  <si>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</si>
  <si>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</si>
  <si>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</si>
  <si>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</si>
  <si>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</si>
  <si>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</si>
  <si>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</si>
  <si>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</si>
  <si>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</si>
  <si>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</si>
  <si>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</si>
  <si>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</si>
  <si>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</si>
  <si>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</si>
  <si>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</si>
  <si>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</si>
  <si>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</si>
  <si>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</si>
  <si>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</si>
  <si>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</si>
  <si>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</si>
  <si>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</si>
  <si>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</si>
  <si>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</si>
  <si>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</si>
  <si>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</si>
  <si>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</si>
  <si>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</si>
  <si>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</si>
  <si>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</si>
  <si>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</si>
  <si>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</si>
  <si>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</si>
  <si>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</si>
  <si>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</si>
  <si>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</si>
  <si>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</si>
  <si>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</si>
  <si>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</si>
  <si>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</si>
  <si>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</si>
  <si>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</si>
  <si>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</si>
  <si>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</si>
  <si>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</si>
  <si>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</si>
  <si>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</si>
  <si>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</si>
  <si>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</si>
  <si>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</si>
  <si>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</si>
  <si>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</si>
  <si>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</si>
  <si>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</si>
  <si>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14/4/1399</t>
  </si>
  <si>
    <t>15/4/1399</t>
  </si>
  <si>
    <t>پارس 9893 تا 17019</t>
  </si>
  <si>
    <t>پارس 8403 تا 16875.4</t>
  </si>
  <si>
    <t>16/4/1399</t>
  </si>
  <si>
    <t>17/4/1399</t>
  </si>
  <si>
    <t>بدهی به حسین 17/4/1399 تعداد 499 تا پارس</t>
  </si>
  <si>
    <t>پارس 81748 تا 17851.5</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</si>
  <si>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</si>
  <si>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</si>
  <si>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</si>
  <si>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</si>
  <si>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</si>
  <si>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</si>
  <si>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</si>
  <si>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</si>
  <si>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</si>
  <si>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</si>
  <si>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</si>
  <si>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</si>
  <si>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</si>
  <si>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</si>
  <si>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</si>
  <si>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</si>
  <si>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</si>
  <si>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</si>
  <si>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</si>
  <si>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</si>
  <si>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</si>
  <si>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</si>
  <si>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</si>
  <si>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</si>
  <si>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</si>
  <si>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</si>
  <si>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</si>
  <si>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</si>
  <si>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</si>
  <si>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</si>
  <si>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پارس 451 تا 17455.9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</si>
  <si>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</si>
  <si>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</si>
  <si>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</si>
  <si>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</si>
  <si>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</si>
  <si>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</si>
  <si>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</si>
  <si>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</si>
  <si>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</si>
  <si>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</si>
  <si>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</si>
  <si>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</si>
  <si>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</si>
  <si>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</si>
  <si>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</si>
  <si>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</si>
  <si>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</si>
  <si>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</si>
  <si>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</si>
  <si>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</si>
  <si>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</si>
  <si>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زاگرس 2575 تا 19293</t>
  </si>
  <si>
    <t>4/5/1399</t>
  </si>
  <si>
    <t>زاگرس 2049 تا 18705.1</t>
  </si>
  <si>
    <t>5/5/1399</t>
  </si>
  <si>
    <t>پارس 4042 تا 15562.8</t>
  </si>
  <si>
    <t>زاگرس 95231 تا 18150.3</t>
  </si>
  <si>
    <t>6/5/1399</t>
  </si>
  <si>
    <t>زاگرس 71 تا 17950</t>
  </si>
  <si>
    <t>پارس 10031 تا 14821.5</t>
  </si>
  <si>
    <t>وغدیر 238000 تا 192</t>
  </si>
  <si>
    <t>زاگرس 12054 تا 17592.1</t>
  </si>
  <si>
    <t>7/5/1399</t>
  </si>
  <si>
    <t>طلب از رضا 7/5/1399</t>
  </si>
  <si>
    <t>طلب از حسین 8/5/1399</t>
  </si>
  <si>
    <t>قسط انصار 8/5/1399</t>
  </si>
  <si>
    <t>اینترنت برای مریم 7/5/1399</t>
  </si>
  <si>
    <t>بدهی بابت اعتبار 20 میلیونی به مهدی 8/5/1399</t>
  </si>
  <si>
    <t>سود پارس</t>
  </si>
  <si>
    <t>بدهی علی سود پارس</t>
  </si>
  <si>
    <t>بدهی مریم 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</si>
  <si>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</si>
  <si>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</si>
  <si>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</si>
  <si>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</si>
  <si>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</si>
  <si>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</si>
  <si>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</si>
  <si>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</si>
  <si>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</si>
  <si>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</si>
  <si>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زاگرس 2582 تا 18510</t>
  </si>
  <si>
    <t>پارس 7306 تا 14894.2</t>
  </si>
  <si>
    <t>زاگرس 2262 تا 18283</t>
  </si>
  <si>
    <t>13/5/1399</t>
  </si>
  <si>
    <t>زاگرس 2241 تا 18976.3</t>
  </si>
  <si>
    <t>شخارک 17231 تا 5060.9</t>
  </si>
  <si>
    <t>موجودی کارت مسکن ایلیا 8/5/1399</t>
  </si>
  <si>
    <t>موجودی فعلی</t>
  </si>
  <si>
    <t>14/5/1399</t>
  </si>
  <si>
    <t>پارس 650 تا 15330</t>
  </si>
  <si>
    <t>زاگرس 1908 تا 18610</t>
  </si>
  <si>
    <t>وغدیر 30169 تا 196.2</t>
  </si>
  <si>
    <t>زاگرس 226 تا 18850</t>
  </si>
  <si>
    <t>پارس 27503 تا 15615.5</t>
  </si>
  <si>
    <t>شخارک 37570 تا 4989.3</t>
  </si>
  <si>
    <t>کلید برای مریم 12/5/1399</t>
  </si>
  <si>
    <t>وغدیر 420180 تا 195.5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</si>
</sst>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8" borderId="5" xfId="0" applyFill="1" applyBorder="1" applyAlignment="1">
      <alignment horizontal="center"/>
    </xf>
    <xf numFmtId="14" fontId="0" fillId="41" borderId="1" xfId="0" applyNumberFormat="1" applyFill="1" applyBorder="1"/>
    <xf numFmtId="0" fontId="0" fillId="9"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topLeftCell="A124" zoomScale="85" zoomScaleNormal="85" workbookViewId="0">
      <selection activeCell="O105" sqref="O105"/>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4493</v>
      </c>
      <c r="C1" s="166" t="s">
        <v>935</v>
      </c>
      <c r="D1" s="166" t="s">
        <v>922</v>
      </c>
      <c r="E1" s="166" t="s">
        <v>4493</v>
      </c>
      <c r="F1" s="166" t="s">
        <v>935</v>
      </c>
      <c r="G1" s="166" t="s">
        <v>922</v>
      </c>
      <c r="H1" s="166" t="s">
        <v>4577</v>
      </c>
      <c r="I1" s="222" t="s">
        <v>4578</v>
      </c>
      <c r="J1" s="97" t="s">
        <v>8</v>
      </c>
      <c r="K1" s="97"/>
      <c r="L1" s="97"/>
      <c r="M1" s="97"/>
      <c r="N1" s="97"/>
    </row>
    <row r="2" spans="1:14">
      <c r="A2" s="166" t="s">
        <v>4485</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4484</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4486</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4567</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4567</v>
      </c>
      <c r="B7" s="166" t="s">
        <v>1070</v>
      </c>
      <c r="C7" s="111">
        <v>4183832</v>
      </c>
      <c r="D7" s="166">
        <f t="shared" si="2"/>
        <v>0.24118578375039915</v>
      </c>
      <c r="E7" s="166" t="s">
        <v>4568</v>
      </c>
      <c r="F7" s="111">
        <v>217.1</v>
      </c>
      <c r="G7" s="166">
        <v>4648</v>
      </c>
      <c r="H7" s="166">
        <f t="shared" si="0"/>
        <v>19271.450944265314</v>
      </c>
      <c r="I7" s="222">
        <f t="shared" si="1"/>
        <v>5.1890228861961954E-5</v>
      </c>
      <c r="J7" s="97"/>
      <c r="K7" s="97"/>
      <c r="L7" s="97"/>
      <c r="M7" s="97"/>
      <c r="N7" s="97"/>
    </row>
    <row r="8" spans="1:14">
      <c r="A8" s="166" t="s">
        <v>4567</v>
      </c>
      <c r="B8" s="166" t="s">
        <v>1070</v>
      </c>
      <c r="C8" s="111">
        <v>4183832</v>
      </c>
      <c r="D8" s="166">
        <f t="shared" si="2"/>
        <v>3.2966189847011065</v>
      </c>
      <c r="E8" s="206" t="s">
        <v>4489</v>
      </c>
      <c r="F8" s="111">
        <v>4500</v>
      </c>
      <c r="G8" s="166">
        <v>3065</v>
      </c>
      <c r="H8" s="206">
        <f t="shared" si="0"/>
        <v>929.74044444444439</v>
      </c>
      <c r="I8" s="222">
        <f t="shared" si="1"/>
        <v>1.0755689999024818E-3</v>
      </c>
      <c r="J8" s="97"/>
      <c r="K8" s="97"/>
      <c r="L8" s="97"/>
      <c r="M8" s="97"/>
      <c r="N8" s="97"/>
    </row>
    <row r="9" spans="1:14">
      <c r="A9" s="166" t="s">
        <v>4572</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4572</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4573</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4573</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4586</v>
      </c>
      <c r="B13" s="166" t="s">
        <v>1070</v>
      </c>
      <c r="C13" s="111">
        <v>4369699</v>
      </c>
      <c r="D13" s="166">
        <f t="shared" si="2"/>
        <v>0.22790475957268452</v>
      </c>
      <c r="E13" s="166" t="s">
        <v>4556</v>
      </c>
      <c r="F13" s="111">
        <v>724.8</v>
      </c>
      <c r="G13" s="166">
        <v>1374</v>
      </c>
      <c r="H13" s="166">
        <f t="shared" si="0"/>
        <v>6028.8341611479036</v>
      </c>
      <c r="I13" s="222">
        <f t="shared" si="1"/>
        <v>1.6586954845173546E-4</v>
      </c>
      <c r="J13" s="97"/>
      <c r="K13" s="97"/>
      <c r="L13" s="97"/>
      <c r="M13" s="97"/>
      <c r="N13" s="97"/>
    </row>
    <row r="14" spans="1:14">
      <c r="A14" s="166" t="s">
        <v>4586</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4598</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4609</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4609</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4619</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4619</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4624</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4626</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4628</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4628</v>
      </c>
      <c r="B23" s="166" t="s">
        <v>1070</v>
      </c>
      <c r="C23" s="111">
        <v>4291628</v>
      </c>
      <c r="D23" s="210">
        <f t="shared" si="3"/>
        <v>4.7641314671262279E-2</v>
      </c>
      <c r="E23" s="19" t="s">
        <v>4534</v>
      </c>
      <c r="F23" s="115">
        <v>178.1</v>
      </c>
      <c r="G23" s="19">
        <v>1148</v>
      </c>
      <c r="H23" s="19">
        <f t="shared" si="0"/>
        <v>24096.732172936554</v>
      </c>
      <c r="I23" s="222">
        <f t="shared" si="1"/>
        <v>4.1499403023747632E-5</v>
      </c>
      <c r="J23" s="97"/>
      <c r="K23" s="97"/>
      <c r="L23" s="97"/>
      <c r="M23" s="97"/>
      <c r="N23" s="97"/>
    </row>
    <row r="24" spans="1:14">
      <c r="A24" s="210" t="s">
        <v>4638</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4639</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4648</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4660</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4660</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4660</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4660</v>
      </c>
      <c r="B31" s="210" t="s">
        <v>1070</v>
      </c>
      <c r="C31" s="111">
        <v>4590878</v>
      </c>
      <c r="D31" s="210">
        <f t="shared" si="3"/>
        <v>1.0887767002303264</v>
      </c>
      <c r="E31" s="13" t="s">
        <v>4490</v>
      </c>
      <c r="F31" s="115">
        <v>3859.8</v>
      </c>
      <c r="G31" s="19">
        <v>1295</v>
      </c>
      <c r="H31" s="13">
        <f t="shared" si="0"/>
        <v>1189.4082594953106</v>
      </c>
      <c r="I31" s="222">
        <f t="shared" si="1"/>
        <v>8.4075420867206669E-4</v>
      </c>
      <c r="J31" s="97"/>
      <c r="K31" s="97"/>
      <c r="L31" s="97"/>
      <c r="M31" s="97"/>
      <c r="N31" s="97"/>
    </row>
    <row r="32" spans="1:14">
      <c r="A32" s="210" t="s">
        <v>4663</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4664</v>
      </c>
      <c r="K32" s="97"/>
      <c r="L32" s="97"/>
      <c r="M32" s="97"/>
      <c r="N32" s="97"/>
    </row>
    <row r="33" spans="1:14">
      <c r="A33" s="210" t="s">
        <v>4663</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4663</v>
      </c>
      <c r="B34" s="210" t="s">
        <v>1070</v>
      </c>
      <c r="C34" s="111">
        <v>4724483</v>
      </c>
      <c r="D34" s="210">
        <f t="shared" si="3"/>
        <v>2.8236157480088302</v>
      </c>
      <c r="E34" s="5" t="s">
        <v>4490</v>
      </c>
      <c r="F34" s="115">
        <v>3853.3</v>
      </c>
      <c r="G34" s="210">
        <v>3462</v>
      </c>
      <c r="H34" s="5">
        <f t="shared" ref="H34:H59" si="4">C34/F34</f>
        <v>1226.0875094075207</v>
      </c>
      <c r="I34" s="222">
        <f t="shared" ref="I34:I59" si="5">F34/C34</f>
        <v>8.1560246909556037E-4</v>
      </c>
      <c r="J34" s="97"/>
      <c r="K34" s="97"/>
      <c r="L34" s="97"/>
      <c r="M34" s="97"/>
      <c r="N34" s="97"/>
    </row>
    <row r="35" spans="1:14">
      <c r="A35" s="210" t="s">
        <v>4677</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4677</v>
      </c>
      <c r="B36" s="210" t="s">
        <v>1070</v>
      </c>
      <c r="C36" s="111">
        <v>4852712</v>
      </c>
      <c r="D36" s="210">
        <f t="shared" si="3"/>
        <v>13.047731721973198</v>
      </c>
      <c r="E36" s="13" t="s">
        <v>4490</v>
      </c>
      <c r="F36" s="115">
        <v>4176.3</v>
      </c>
      <c r="G36" s="210">
        <v>15161</v>
      </c>
      <c r="H36" s="13">
        <f t="shared" si="4"/>
        <v>1161.9644182649713</v>
      </c>
      <c r="I36" s="222">
        <f t="shared" si="5"/>
        <v>8.6061155081941813E-4</v>
      </c>
      <c r="J36" s="97"/>
      <c r="K36" s="97"/>
      <c r="L36" s="97"/>
      <c r="M36" s="97"/>
      <c r="N36" s="97"/>
    </row>
    <row r="37" spans="1:14">
      <c r="A37" s="210" t="s">
        <v>4677</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4684</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4684</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4684</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4698</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4711</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4716</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4724</v>
      </c>
      <c r="B44" s="210" t="s">
        <v>4273</v>
      </c>
      <c r="C44" s="111">
        <v>299.10000000000002</v>
      </c>
      <c r="D44" s="210">
        <v>5658</v>
      </c>
      <c r="E44" s="210" t="s">
        <v>4221</v>
      </c>
      <c r="F44" s="210">
        <v>182.5</v>
      </c>
      <c r="G44" s="210">
        <v>9173</v>
      </c>
      <c r="H44" s="210">
        <f t="shared" si="4"/>
        <v>1.6389041095890413</v>
      </c>
      <c r="I44" s="222">
        <f t="shared" si="5"/>
        <v>0.61016382480775655</v>
      </c>
      <c r="J44" s="97" t="s">
        <v>4725</v>
      </c>
      <c r="K44" s="97"/>
      <c r="L44" s="97"/>
      <c r="M44" s="97"/>
      <c r="N44" s="97"/>
    </row>
    <row r="45" spans="1:14">
      <c r="A45" s="210" t="s">
        <v>4724</v>
      </c>
      <c r="B45" s="210" t="s">
        <v>4363</v>
      </c>
      <c r="C45" s="111">
        <v>5149.1000000000004</v>
      </c>
      <c r="D45" s="210">
        <v>290</v>
      </c>
      <c r="E45" s="210" t="s">
        <v>4490</v>
      </c>
      <c r="F45" s="210">
        <v>3933</v>
      </c>
      <c r="G45" s="210">
        <v>375</v>
      </c>
      <c r="H45" s="210">
        <f t="shared" si="4"/>
        <v>1.3092041698449022</v>
      </c>
      <c r="I45" s="222">
        <f t="shared" si="5"/>
        <v>0.76382280398516245</v>
      </c>
      <c r="J45" s="97" t="s">
        <v>25</v>
      </c>
      <c r="K45" s="97"/>
      <c r="L45" s="97"/>
      <c r="M45" s="97"/>
      <c r="N45" s="97"/>
    </row>
    <row r="46" spans="1:14">
      <c r="A46" s="210" t="s">
        <v>4747</v>
      </c>
      <c r="B46" s="210" t="s">
        <v>4363</v>
      </c>
      <c r="C46" s="111">
        <v>5399.3</v>
      </c>
      <c r="D46" s="210">
        <v>2000</v>
      </c>
      <c r="E46" s="210" t="s">
        <v>4490</v>
      </c>
      <c r="F46" s="210">
        <v>4049.8</v>
      </c>
      <c r="G46" s="210">
        <v>2638</v>
      </c>
      <c r="H46" s="210">
        <f t="shared" si="4"/>
        <v>1.3332263321645512</v>
      </c>
      <c r="I46" s="222">
        <f t="shared" si="5"/>
        <v>0.75006019298797988</v>
      </c>
      <c r="J46" s="97"/>
      <c r="K46" s="97"/>
      <c r="L46" s="97"/>
      <c r="M46" s="97"/>
      <c r="N46" s="97"/>
    </row>
    <row r="47" spans="1:14">
      <c r="A47" s="210" t="s">
        <v>4886</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4886</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4886</v>
      </c>
      <c r="B49" s="210" t="s">
        <v>4490</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4886</v>
      </c>
      <c r="B50" s="210" t="s">
        <v>4490</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4886</v>
      </c>
      <c r="B51" s="210" t="s">
        <v>4490</v>
      </c>
      <c r="C51" s="111">
        <v>4949</v>
      </c>
      <c r="D51" s="210">
        <v>1000</v>
      </c>
      <c r="E51" s="210" t="s">
        <v>4221</v>
      </c>
      <c r="F51" s="210">
        <v>192</v>
      </c>
      <c r="G51" s="210" t="s">
        <v>4890</v>
      </c>
      <c r="H51" s="210">
        <f t="shared" si="4"/>
        <v>25.776041666666668</v>
      </c>
      <c r="I51" s="222">
        <f t="shared" si="5"/>
        <v>3.8795716306324508E-2</v>
      </c>
      <c r="J51" s="97"/>
      <c r="K51" s="97"/>
      <c r="L51" s="97"/>
      <c r="M51" s="97"/>
      <c r="N51" s="97"/>
    </row>
    <row r="52" spans="1:19">
      <c r="A52" s="210" t="s">
        <v>4892</v>
      </c>
      <c r="B52" s="210" t="s">
        <v>4490</v>
      </c>
      <c r="C52" s="111">
        <v>4957.7</v>
      </c>
      <c r="D52" s="210" t="s">
        <v>4890</v>
      </c>
      <c r="E52" s="210" t="s">
        <v>4359</v>
      </c>
      <c r="F52" s="210">
        <v>3589.3</v>
      </c>
      <c r="G52" s="210" t="s">
        <v>4890</v>
      </c>
      <c r="H52" s="210">
        <f t="shared" si="4"/>
        <v>1.3812442537542138</v>
      </c>
      <c r="I52" s="222">
        <f t="shared" si="5"/>
        <v>0.72398491235855345</v>
      </c>
      <c r="J52" s="97"/>
      <c r="K52" s="97"/>
      <c r="L52" s="97"/>
      <c r="M52" s="97"/>
      <c r="N52" s="97"/>
    </row>
    <row r="53" spans="1:19">
      <c r="A53" s="210" t="s">
        <v>4892</v>
      </c>
      <c r="B53" s="210" t="s">
        <v>4490</v>
      </c>
      <c r="C53" s="111">
        <v>4958</v>
      </c>
      <c r="D53" s="210" t="s">
        <v>4890</v>
      </c>
      <c r="E53" s="210" t="s">
        <v>4363</v>
      </c>
      <c r="F53" s="210">
        <v>4730.8999999999996</v>
      </c>
      <c r="G53" s="210" t="s">
        <v>4890</v>
      </c>
      <c r="H53" s="210">
        <f t="shared" si="4"/>
        <v>1.0480035511213512</v>
      </c>
      <c r="I53" s="222">
        <f t="shared" si="5"/>
        <v>0.95419524001613543</v>
      </c>
      <c r="J53" s="97"/>
      <c r="K53" s="97"/>
      <c r="L53" s="97"/>
      <c r="M53" s="97"/>
      <c r="N53" s="97"/>
    </row>
    <row r="54" spans="1:19">
      <c r="A54" s="210" t="s">
        <v>4892</v>
      </c>
      <c r="B54" s="210" t="s">
        <v>4490</v>
      </c>
      <c r="C54" s="111">
        <v>4958</v>
      </c>
      <c r="D54" s="210" t="s">
        <v>4890</v>
      </c>
      <c r="E54" s="210" t="s">
        <v>4376</v>
      </c>
      <c r="F54" s="210">
        <v>671.9</v>
      </c>
      <c r="G54" s="210" t="s">
        <v>4890</v>
      </c>
      <c r="H54" s="210">
        <f t="shared" si="4"/>
        <v>7.379074267004019</v>
      </c>
      <c r="I54" s="222">
        <f t="shared" si="5"/>
        <v>0.13551835417507058</v>
      </c>
      <c r="J54" s="97"/>
      <c r="K54" s="97"/>
      <c r="L54" s="97"/>
      <c r="M54" s="97" t="s">
        <v>25</v>
      </c>
      <c r="N54" s="97"/>
    </row>
    <row r="55" spans="1:19">
      <c r="A55" s="210" t="s">
        <v>4892</v>
      </c>
      <c r="B55" s="210" t="s">
        <v>4490</v>
      </c>
      <c r="C55" s="111">
        <v>4958</v>
      </c>
      <c r="D55" s="210" t="s">
        <v>4890</v>
      </c>
      <c r="E55" s="210" t="s">
        <v>4221</v>
      </c>
      <c r="F55" s="210">
        <v>194.4</v>
      </c>
      <c r="G55" s="210" t="s">
        <v>4890</v>
      </c>
      <c r="H55" s="210">
        <f t="shared" si="4"/>
        <v>25.504115226337447</v>
      </c>
      <c r="I55" s="222">
        <f t="shared" si="5"/>
        <v>3.9209358612343689E-2</v>
      </c>
      <c r="J55" s="97"/>
      <c r="K55" s="97"/>
      <c r="L55" s="97"/>
      <c r="M55" s="97"/>
      <c r="N55" s="97"/>
    </row>
    <row r="56" spans="1:19">
      <c r="A56" s="210" t="s">
        <v>4957</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4960</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4963</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4987</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5000</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5009</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5387</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5388</v>
      </c>
    </row>
    <row r="65" spans="1:20">
      <c r="A65" s="159" t="s">
        <v>5048</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5390</v>
      </c>
    </row>
    <row r="67" spans="1:20">
      <c r="A67" s="159" t="s">
        <v>5064</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5389</v>
      </c>
      <c r="T67" s="94"/>
    </row>
    <row r="68" spans="1:20">
      <c r="A68" s="159" t="s">
        <v>5067</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5093</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5094</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5036</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5100</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5109</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5145</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5446</v>
      </c>
      <c r="B77" s="119" t="s">
        <v>4376</v>
      </c>
      <c r="C77" s="77">
        <v>1348.1</v>
      </c>
      <c r="D77" s="119">
        <v>22264</v>
      </c>
      <c r="E77" s="287" t="s">
        <v>4363</v>
      </c>
      <c r="F77" s="288">
        <v>7159.6</v>
      </c>
      <c r="G77" s="119">
        <f>C77*D77*0.99025/(F77*1.00464)</f>
        <v>4132.100996929863</v>
      </c>
      <c r="H77" s="218">
        <f t="shared" ref="H77:H110" si="8">C77/F77</f>
        <v>0.18829264204704171</v>
      </c>
      <c r="I77" s="305">
        <f t="shared" si="7"/>
        <v>5.3108819820488105</v>
      </c>
      <c r="J77" s="97"/>
      <c r="K77" s="97"/>
      <c r="L77" s="97"/>
      <c r="M77" s="97"/>
      <c r="N77" s="97"/>
      <c r="O77" s="94"/>
      <c r="P77" s="94"/>
      <c r="Q77" s="94"/>
      <c r="R77" s="94"/>
      <c r="S77" s="94"/>
      <c r="T77" s="94"/>
    </row>
    <row r="78" spans="1:20">
      <c r="A78" s="119" t="s">
        <v>5446</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5453</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5456</v>
      </c>
      <c r="B80" s="119" t="s">
        <v>4376</v>
      </c>
      <c r="C80" s="77">
        <v>1509.3</v>
      </c>
      <c r="D80" s="119">
        <v>2000</v>
      </c>
      <c r="E80" s="287" t="s">
        <v>4363</v>
      </c>
      <c r="F80" s="288">
        <v>7614.2</v>
      </c>
      <c r="G80" s="119">
        <f>C80*D80*0.99025/(F80*1.00464)</f>
        <v>390.76501350614762</v>
      </c>
      <c r="H80" s="218">
        <f t="shared" si="8"/>
        <v>0.19822174358435554</v>
      </c>
      <c r="I80" s="305">
        <f t="shared" ref="I80:I110" si="9">F80/C80</f>
        <v>5.0448552309017423</v>
      </c>
      <c r="J80" s="97"/>
      <c r="K80" s="97"/>
      <c r="L80" s="289">
        <f>49/1044.7</f>
        <v>4.6903417248970992E-2</v>
      </c>
      <c r="M80" s="289">
        <f>1-L80</f>
        <v>0.95309658275102904</v>
      </c>
      <c r="N80" s="97"/>
      <c r="O80" s="94"/>
      <c r="P80" s="94"/>
      <c r="Q80" s="94"/>
      <c r="R80" s="94"/>
      <c r="S80" s="94"/>
      <c r="T80" s="94"/>
    </row>
    <row r="81" spans="1:25">
      <c r="A81" s="289" t="s">
        <v>5474</v>
      </c>
      <c r="B81" s="289" t="s">
        <v>4221</v>
      </c>
      <c r="C81" s="291">
        <f>689.1*M80</f>
        <v>656.77885517373409</v>
      </c>
      <c r="D81" s="289">
        <v>10732</v>
      </c>
      <c r="E81" s="292" t="s">
        <v>4490</v>
      </c>
      <c r="F81" s="47">
        <v>2696.3</v>
      </c>
      <c r="G81" s="289">
        <f t="shared" ref="G81:G114"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5478</v>
      </c>
      <c r="B82" s="289" t="s">
        <v>4221</v>
      </c>
      <c r="C82" s="291">
        <f>723.5*M80</f>
        <v>689.56537762036953</v>
      </c>
      <c r="D82" s="289">
        <v>4758</v>
      </c>
      <c r="E82" s="292" t="s">
        <v>4490</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5466</v>
      </c>
      <c r="B83" s="119" t="s">
        <v>4376</v>
      </c>
      <c r="C83" s="77">
        <v>1674.8</v>
      </c>
      <c r="D83" s="119">
        <v>300</v>
      </c>
      <c r="E83" s="292" t="s">
        <v>4490</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5466</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5466</v>
      </c>
      <c r="B85" s="119" t="s">
        <v>4376</v>
      </c>
      <c r="C85" s="77">
        <v>1656.7</v>
      </c>
      <c r="D85" s="119">
        <v>29143</v>
      </c>
      <c r="E85" s="292" t="s">
        <v>4490</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94"/>
      <c r="T86" s="94"/>
    </row>
    <row r="87" spans="1:25">
      <c r="A87" s="326">
        <v>36892</v>
      </c>
      <c r="B87" s="287" t="s">
        <v>4363</v>
      </c>
      <c r="C87" s="288">
        <v>16015</v>
      </c>
      <c r="D87" s="287">
        <v>3021</v>
      </c>
      <c r="E87" s="60" t="s">
        <v>4359</v>
      </c>
      <c r="F87" s="49">
        <v>18510</v>
      </c>
      <c r="G87" s="60">
        <f t="shared" ref="G87:G92" si="13">C87*D87*0.99114/(F87*1.0037158)</f>
        <v>2581.0445006629138</v>
      </c>
      <c r="H87" s="205">
        <f t="shared" ref="H87:H92" si="14">C87/F87</f>
        <v>0.86520799567801188</v>
      </c>
      <c r="I87" s="325">
        <f t="shared" ref="I87:I92" si="15">F87/C87</f>
        <v>1.1557914455198253</v>
      </c>
      <c r="J87" s="20"/>
      <c r="K87" s="20"/>
      <c r="L87" s="20"/>
      <c r="M87" s="20"/>
      <c r="N87" s="20"/>
      <c r="O87" s="94" t="s">
        <v>25</v>
      </c>
      <c r="P87" s="94"/>
      <c r="Q87" s="94"/>
      <c r="R87" s="94" t="s">
        <v>25</v>
      </c>
      <c r="S87" s="94" t="s">
        <v>25</v>
      </c>
      <c r="T87" s="94"/>
    </row>
    <row r="88" spans="1:25">
      <c r="A88" s="287"/>
      <c r="B88" s="287"/>
      <c r="C88" s="288"/>
      <c r="D88" s="287"/>
      <c r="E88" s="60"/>
      <c r="F88" s="49"/>
      <c r="G88" s="60" t="e">
        <f t="shared" si="13"/>
        <v>#DIV/0!</v>
      </c>
      <c r="H88" s="205" t="e">
        <f t="shared" si="14"/>
        <v>#DIV/0!</v>
      </c>
      <c r="I88" s="325" t="e">
        <f t="shared" si="15"/>
        <v>#DIV/0!</v>
      </c>
      <c r="J88" s="20"/>
      <c r="K88" s="20"/>
      <c r="L88" s="20"/>
      <c r="M88" s="20"/>
      <c r="N88" s="20"/>
      <c r="O88" s="94"/>
      <c r="P88" s="94"/>
      <c r="Q88" s="94" t="s">
        <v>25</v>
      </c>
      <c r="R88" s="94"/>
      <c r="S88" s="94"/>
      <c r="T88" s="94"/>
    </row>
    <row r="89" spans="1:25">
      <c r="A89" s="287"/>
      <c r="B89" s="287"/>
      <c r="C89" s="288"/>
      <c r="D89" s="287"/>
      <c r="E89" s="60"/>
      <c r="F89" s="49"/>
      <c r="G89" s="60" t="e">
        <f t="shared" si="13"/>
        <v>#DIV/0!</v>
      </c>
      <c r="H89" s="205" t="e">
        <f t="shared" si="14"/>
        <v>#DIV/0!</v>
      </c>
      <c r="I89" s="325" t="e">
        <f t="shared" si="15"/>
        <v>#DIV/0!</v>
      </c>
      <c r="J89" s="20"/>
      <c r="K89" s="20"/>
      <c r="L89" s="20"/>
      <c r="M89" s="20"/>
      <c r="N89" s="20"/>
      <c r="O89" s="94"/>
      <c r="P89" s="94" t="s">
        <v>25</v>
      </c>
      <c r="Q89" s="94" t="s">
        <v>25</v>
      </c>
      <c r="R89" s="94" t="s">
        <v>25</v>
      </c>
      <c r="S89" s="94"/>
      <c r="T89" s="94"/>
    </row>
    <row r="90" spans="1:25">
      <c r="A90" s="287"/>
      <c r="B90" s="287"/>
      <c r="C90" s="288"/>
      <c r="D90" s="287"/>
      <c r="E90" s="60"/>
      <c r="F90" s="49"/>
      <c r="G90" s="60" t="e">
        <f t="shared" si="13"/>
        <v>#DIV/0!</v>
      </c>
      <c r="H90" s="205" t="e">
        <f t="shared" si="14"/>
        <v>#DIV/0!</v>
      </c>
      <c r="I90" s="325" t="e">
        <f t="shared" si="15"/>
        <v>#DIV/0!</v>
      </c>
      <c r="J90" s="20"/>
      <c r="K90" s="20" t="s">
        <v>25</v>
      </c>
      <c r="L90" s="20"/>
      <c r="M90" s="20"/>
      <c r="N90" s="20"/>
      <c r="O90" s="94" t="s">
        <v>25</v>
      </c>
      <c r="P90" s="94"/>
      <c r="Q90" s="94"/>
      <c r="R90" s="94"/>
      <c r="S90" s="94"/>
      <c r="T90" s="94"/>
    </row>
    <row r="91" spans="1:25">
      <c r="A91" s="287"/>
      <c r="B91" s="287"/>
      <c r="C91" s="288"/>
      <c r="D91" s="287"/>
      <c r="E91" s="60"/>
      <c r="F91" s="49"/>
      <c r="G91" s="60" t="e">
        <f t="shared" si="13"/>
        <v>#DIV/0!</v>
      </c>
      <c r="H91" s="205" t="e">
        <f t="shared" si="14"/>
        <v>#DIV/0!</v>
      </c>
      <c r="I91" s="325" t="e">
        <f t="shared" si="15"/>
        <v>#DIV/0!</v>
      </c>
      <c r="J91" s="20"/>
      <c r="K91" s="20"/>
      <c r="L91" s="20"/>
      <c r="M91" s="20"/>
      <c r="N91" s="20"/>
      <c r="O91" s="94" t="s">
        <v>25</v>
      </c>
      <c r="P91" s="94" t="s">
        <v>25</v>
      </c>
      <c r="Q91" s="94" t="s">
        <v>25</v>
      </c>
      <c r="R91" s="94"/>
      <c r="S91" s="94"/>
      <c r="T91" s="94"/>
    </row>
    <row r="92" spans="1:25">
      <c r="A92" s="287"/>
      <c r="B92" s="287"/>
      <c r="C92" s="288"/>
      <c r="D92" s="287"/>
      <c r="E92" s="60"/>
      <c r="F92" s="49"/>
      <c r="G92" s="60" t="e">
        <f t="shared" si="13"/>
        <v>#DIV/0!</v>
      </c>
      <c r="H92" s="205" t="e">
        <f t="shared" si="14"/>
        <v>#DIV/0!</v>
      </c>
      <c r="I92" s="325" t="e">
        <f t="shared" si="15"/>
        <v>#DIV/0!</v>
      </c>
      <c r="J92" s="20"/>
      <c r="K92" s="20"/>
      <c r="L92" s="20"/>
      <c r="M92" s="20"/>
      <c r="N92" s="20"/>
      <c r="O92" s="94"/>
      <c r="P92" s="94"/>
      <c r="Q92" s="94"/>
      <c r="R92" s="94"/>
      <c r="S92" s="94"/>
      <c r="T92" s="94"/>
    </row>
    <row r="93" spans="1:25">
      <c r="A93" s="287"/>
      <c r="B93" s="287" t="s">
        <v>4363</v>
      </c>
      <c r="C93" s="288">
        <f>C142</f>
        <v>18800</v>
      </c>
      <c r="D93" s="287">
        <v>1</v>
      </c>
      <c r="E93" s="60" t="s">
        <v>4359</v>
      </c>
      <c r="F93" s="49">
        <f>C143</f>
        <v>15400</v>
      </c>
      <c r="G93" s="60">
        <f>C93*D93*0.99114/(F93*1.0037158)</f>
        <v>1.205483780252455</v>
      </c>
      <c r="H93" s="205">
        <f>C93/F93</f>
        <v>1.2207792207792207</v>
      </c>
      <c r="I93" s="325">
        <f>F93/C93</f>
        <v>0.81914893617021278</v>
      </c>
      <c r="J93" s="20"/>
      <c r="K93" s="20">
        <f>H93/H87</f>
        <v>1.4109661802449813</v>
      </c>
      <c r="L93" s="20">
        <f>(1/K93-1.0256)*100</f>
        <v>-31.686579077439458</v>
      </c>
      <c r="M93" s="20"/>
      <c r="N93" s="20"/>
      <c r="O93" s="94"/>
      <c r="P93" s="94"/>
      <c r="Q93" s="94"/>
      <c r="R93" s="97" t="s">
        <v>1071</v>
      </c>
      <c r="S93" s="97"/>
      <c r="T93" s="97"/>
      <c r="U93" s="97"/>
      <c r="V93" s="97"/>
      <c r="W93" s="97"/>
      <c r="X93" s="97"/>
      <c r="Y93" s="97"/>
    </row>
    <row r="94" spans="1:25">
      <c r="A94" s="298"/>
      <c r="B94" s="298"/>
      <c r="C94" s="299"/>
      <c r="D94" s="298"/>
      <c r="E94" s="298"/>
      <c r="F94" s="299"/>
      <c r="G94" s="298"/>
      <c r="H94" s="300"/>
      <c r="I94" s="307"/>
      <c r="J94" s="298"/>
      <c r="K94" s="298"/>
      <c r="L94" s="298"/>
      <c r="M94" s="298"/>
      <c r="N94" s="20"/>
      <c r="O94" s="94"/>
      <c r="P94" s="94"/>
      <c r="Q94" s="94"/>
      <c r="R94" s="97"/>
      <c r="S94" s="97"/>
      <c r="T94" s="97" t="s">
        <v>922</v>
      </c>
      <c r="U94" s="97" t="s">
        <v>925</v>
      </c>
      <c r="V94" s="97" t="s">
        <v>5440</v>
      </c>
      <c r="W94" s="67" t="s">
        <v>1220</v>
      </c>
      <c r="X94" s="67" t="s">
        <v>926</v>
      </c>
      <c r="Y94" s="67" t="s">
        <v>5471</v>
      </c>
    </row>
    <row r="95" spans="1:25">
      <c r="A95" s="289" t="s">
        <v>5613</v>
      </c>
      <c r="B95" s="289" t="s">
        <v>4221</v>
      </c>
      <c r="C95" s="291">
        <v>1493</v>
      </c>
      <c r="D95" s="289">
        <v>4500</v>
      </c>
      <c r="E95" s="60" t="s">
        <v>4359</v>
      </c>
      <c r="F95" s="49">
        <v>15340</v>
      </c>
      <c r="G95" s="289">
        <f t="shared" ref="G95" si="16">C95*D95*0.99025/(F95*1.0046399)</f>
        <v>431.69934575452544</v>
      </c>
      <c r="H95" s="290">
        <f t="shared" ref="H95" si="17">C95/F95</f>
        <v>9.7327249022164275E-2</v>
      </c>
      <c r="I95" s="306">
        <f t="shared" ref="I95" si="18">F95/C95</f>
        <v>10.274614869390488</v>
      </c>
      <c r="J95" s="20"/>
      <c r="K95" s="20">
        <v>1</v>
      </c>
      <c r="L95" s="20"/>
      <c r="M95" s="20"/>
      <c r="N95" s="97"/>
      <c r="O95" s="94"/>
      <c r="P95" s="94"/>
      <c r="Q95" s="94"/>
      <c r="R95" s="97"/>
      <c r="S95" s="97" t="s">
        <v>4363</v>
      </c>
      <c r="T95" s="97">
        <v>874</v>
      </c>
      <c r="U95" s="115">
        <v>6337102</v>
      </c>
      <c r="V95" s="115">
        <f>U95/T95</f>
        <v>7250.6887871853551</v>
      </c>
      <c r="W95" s="115">
        <f>V95*1.01</f>
        <v>7323.195675057209</v>
      </c>
      <c r="X95" s="97">
        <f>'برنامه 5 ساله'!P49</f>
        <v>19234.599999999999</v>
      </c>
      <c r="Y95" s="115">
        <f>T95*X95</f>
        <v>16811040.399999999</v>
      </c>
    </row>
    <row r="96" spans="1:25">
      <c r="A96" s="289" t="s">
        <v>5622</v>
      </c>
      <c r="B96" s="289" t="s">
        <v>4221</v>
      </c>
      <c r="C96" s="291">
        <v>1550.45</v>
      </c>
      <c r="D96" s="289">
        <v>110172</v>
      </c>
      <c r="E96" s="60" t="s">
        <v>4359</v>
      </c>
      <c r="F96" s="49">
        <v>16048</v>
      </c>
      <c r="G96" s="289">
        <f t="shared" ref="G96" si="19">C96*D96*0.99025/(F96*1.0046399)</f>
        <v>10491.61901906387</v>
      </c>
      <c r="H96" s="290">
        <f t="shared" ref="H96" si="20">C96/F96</f>
        <v>9.661328514456631E-2</v>
      </c>
      <c r="I96" s="306">
        <f t="shared" ref="I96" si="21">F96/C96</f>
        <v>10.350543390628527</v>
      </c>
      <c r="J96" s="20"/>
      <c r="K96" s="20">
        <f>H96/H95</f>
        <v>0.99266429612702423</v>
      </c>
      <c r="L96" s="20"/>
      <c r="M96" s="20"/>
      <c r="N96" s="97"/>
      <c r="R96" s="97"/>
      <c r="S96" s="97" t="s">
        <v>4221</v>
      </c>
      <c r="T96" s="97">
        <v>295000</v>
      </c>
      <c r="U96" s="115">
        <v>148594302</v>
      </c>
      <c r="V96" s="115">
        <f>U96/T96</f>
        <v>503.70949830508476</v>
      </c>
      <c r="W96" s="115">
        <f>V96*1.01</f>
        <v>508.74659328813561</v>
      </c>
      <c r="X96" s="97">
        <f>'برنامه 5 ساله'!P31</f>
        <v>2290</v>
      </c>
      <c r="Y96" s="115">
        <f>T96*X96</f>
        <v>675550000</v>
      </c>
    </row>
    <row r="97" spans="1:27">
      <c r="A97" s="289" t="s">
        <v>5623</v>
      </c>
      <c r="B97" s="289" t="s">
        <v>4221</v>
      </c>
      <c r="C97" s="291">
        <v>1623.7</v>
      </c>
      <c r="D97" s="289">
        <v>88000</v>
      </c>
      <c r="E97" s="60" t="s">
        <v>4359</v>
      </c>
      <c r="F97" s="49">
        <v>15913</v>
      </c>
      <c r="G97" s="289">
        <f t="shared" ref="G97" si="22">C97*D97*0.99025/(F97*1.0046399)</f>
        <v>8850.5615902808386</v>
      </c>
      <c r="H97" s="290">
        <f t="shared" ref="H97" si="23">C97/F97</f>
        <v>0.10203607113680639</v>
      </c>
      <c r="I97" s="306">
        <f t="shared" ref="I97" si="24">F97/C97</f>
        <v>9.8004557492147555</v>
      </c>
      <c r="J97" s="20"/>
      <c r="K97" s="20">
        <f>H97/H96</f>
        <v>1.0561287817107736</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5627</v>
      </c>
      <c r="B98" s="289" t="s">
        <v>4221</v>
      </c>
      <c r="C98" s="291">
        <v>1818</v>
      </c>
      <c r="D98" s="289">
        <v>800000</v>
      </c>
      <c r="E98" s="60" t="s">
        <v>4359</v>
      </c>
      <c r="F98" s="49">
        <v>16830</v>
      </c>
      <c r="G98" s="289">
        <f t="shared" ref="G98" si="25">C98*D98*0.99025/(F98*1.0046399)</f>
        <v>85179.321918774527</v>
      </c>
      <c r="H98" s="290">
        <f>C98/F98</f>
        <v>0.10802139037433155</v>
      </c>
      <c r="I98" s="306">
        <f t="shared" ref="I98:I99" si="26">F98/C98</f>
        <v>9.2574257425742577</v>
      </c>
      <c r="J98" s="20"/>
      <c r="K98" s="20">
        <f t="shared" ref="K98" si="27">H98/H97</f>
        <v>1.0586588563322892</v>
      </c>
      <c r="L98" s="97"/>
      <c r="M98" s="97"/>
      <c r="N98" s="97"/>
      <c r="R98" s="97" t="s">
        <v>5439</v>
      </c>
      <c r="S98" s="97" t="s">
        <v>5340</v>
      </c>
      <c r="T98" s="97">
        <v>0</v>
      </c>
      <c r="U98" s="115">
        <v>683292</v>
      </c>
      <c r="V98" s="115"/>
      <c r="W98" s="115"/>
      <c r="X98" s="97">
        <f>'برنامه 5 ساله'!P50</f>
        <v>2038</v>
      </c>
      <c r="Y98" s="115">
        <f>U98</f>
        <v>683292</v>
      </c>
    </row>
    <row r="99" spans="1:27">
      <c r="A99" s="289" t="s">
        <v>5685</v>
      </c>
      <c r="B99" s="289" t="s">
        <v>4221</v>
      </c>
      <c r="C99" s="291">
        <v>1799</v>
      </c>
      <c r="D99" s="289">
        <v>35411</v>
      </c>
      <c r="E99" s="60" t="s">
        <v>4359</v>
      </c>
      <c r="F99" s="49">
        <v>15562.8</v>
      </c>
      <c r="G99" s="323">
        <f>C99*D99*0.99114/(F99*1.0037158)</f>
        <v>4042.088902820265</v>
      </c>
      <c r="H99" s="290">
        <f t="shared" ref="H99" si="28">C99/F99</f>
        <v>0.11559616521448583</v>
      </c>
      <c r="I99" s="306">
        <f t="shared" si="26"/>
        <v>8.6508060033351857</v>
      </c>
      <c r="J99" s="20"/>
      <c r="K99" s="20">
        <f>H99/H98</f>
        <v>1.0701229155994481</v>
      </c>
      <c r="L99" s="97" t="s">
        <v>25</v>
      </c>
      <c r="M99" s="97"/>
      <c r="N99" s="97"/>
      <c r="R99" s="97" t="s">
        <v>5439</v>
      </c>
      <c r="S99" s="97" t="s">
        <v>4522</v>
      </c>
      <c r="T99" s="97">
        <v>0</v>
      </c>
      <c r="U99" s="115">
        <v>270969</v>
      </c>
      <c r="V99" s="115"/>
      <c r="W99" s="115"/>
      <c r="X99" s="97">
        <v>1500</v>
      </c>
      <c r="Y99" s="115">
        <f>U99</f>
        <v>270969</v>
      </c>
      <c r="AA99" t="s">
        <v>25</v>
      </c>
    </row>
    <row r="100" spans="1:27">
      <c r="A100" s="289" t="s">
        <v>5688</v>
      </c>
      <c r="B100" s="289" t="s">
        <v>4221</v>
      </c>
      <c r="C100" s="291">
        <v>1868</v>
      </c>
      <c r="D100" s="289">
        <v>163949</v>
      </c>
      <c r="E100" s="60" t="s">
        <v>4359</v>
      </c>
      <c r="F100" s="49">
        <v>14855</v>
      </c>
      <c r="G100" s="323">
        <f t="shared" ref="G100:G107" si="29">C100*D100*0.99114/(F100*1.0037158)</f>
        <v>20358.099409520739</v>
      </c>
      <c r="H100" s="290">
        <f t="shared" ref="H100:H102" si="30">C100/F100</f>
        <v>0.12574890609222483</v>
      </c>
      <c r="I100" s="306">
        <f t="shared" ref="I100:I102" si="31">F100/C100</f>
        <v>7.9523554603854389</v>
      </c>
      <c r="J100" s="20"/>
      <c r="K100" s="20">
        <f t="shared" ref="K100:K102" si="32">H100/H99</f>
        <v>1.0878293917354511</v>
      </c>
      <c r="L100" s="97" t="s">
        <v>25</v>
      </c>
      <c r="M100" s="97"/>
      <c r="N100" s="97"/>
      <c r="R100" s="97"/>
      <c r="S100" s="97"/>
      <c r="T100" s="97"/>
      <c r="U100" s="115"/>
      <c r="V100" s="115"/>
      <c r="W100" s="97"/>
      <c r="X100" s="97"/>
      <c r="Y100" s="97"/>
    </row>
    <row r="101" spans="1:27">
      <c r="A101" s="289" t="s">
        <v>5693</v>
      </c>
      <c r="B101" s="289" t="s">
        <v>4221</v>
      </c>
      <c r="C101" s="291">
        <v>1911</v>
      </c>
      <c r="D101" s="289">
        <v>56500</v>
      </c>
      <c r="E101" s="60" t="s">
        <v>4359</v>
      </c>
      <c r="F101" s="49">
        <v>14617.2</v>
      </c>
      <c r="G101" s="323">
        <f>C101*D101*0.99114/(F101*1.0037158)</f>
        <v>7294.0575998951763</v>
      </c>
      <c r="H101" s="290">
        <f t="shared" si="30"/>
        <v>0.13073639274279616</v>
      </c>
      <c r="I101" s="306">
        <f t="shared" si="31"/>
        <v>7.6489795918367349</v>
      </c>
      <c r="J101" s="20"/>
      <c r="K101" s="20">
        <f t="shared" si="32"/>
        <v>1.0396622666992703</v>
      </c>
      <c r="L101" s="97"/>
      <c r="M101" s="97"/>
      <c r="N101" s="97"/>
      <c r="R101" s="97"/>
      <c r="S101" s="97"/>
      <c r="T101" s="97"/>
      <c r="U101" s="115"/>
      <c r="V101" s="115"/>
      <c r="W101" s="97"/>
      <c r="X101" s="97"/>
      <c r="Y101" s="97"/>
    </row>
    <row r="102" spans="1:27">
      <c r="A102" s="289" t="s">
        <v>5674</v>
      </c>
      <c r="B102" s="289" t="s">
        <v>4221</v>
      </c>
      <c r="C102" s="291">
        <v>1943.72</v>
      </c>
      <c r="D102" s="289">
        <v>17991</v>
      </c>
      <c r="E102" s="60" t="s">
        <v>4359</v>
      </c>
      <c r="F102" s="49">
        <v>14459.9</v>
      </c>
      <c r="G102" s="323">
        <f t="shared" si="29"/>
        <v>2388.0749899490766</v>
      </c>
      <c r="H102" s="290">
        <f t="shared" si="30"/>
        <v>0.13442139987136842</v>
      </c>
      <c r="I102" s="306">
        <f t="shared" si="31"/>
        <v>7.4392916675241283</v>
      </c>
      <c r="J102" s="20"/>
      <c r="K102" s="20">
        <f t="shared" si="32"/>
        <v>1.028186544322222</v>
      </c>
      <c r="L102" s="97"/>
      <c r="M102" s="97"/>
      <c r="N102" s="97"/>
      <c r="R102" s="97"/>
      <c r="S102" s="97"/>
      <c r="T102" s="97"/>
      <c r="U102" s="115">
        <v>159900000</v>
      </c>
      <c r="V102" s="115"/>
      <c r="W102" s="97"/>
      <c r="X102" s="97"/>
      <c r="Y102" s="93">
        <f>SUM(Y95:Y99)</f>
        <v>700725301.39999998</v>
      </c>
    </row>
    <row r="103" spans="1:27">
      <c r="A103" s="289" t="s">
        <v>5720</v>
      </c>
      <c r="B103" s="289" t="s">
        <v>4221</v>
      </c>
      <c r="C103" s="291">
        <v>2294</v>
      </c>
      <c r="D103" s="289">
        <v>193976</v>
      </c>
      <c r="E103" s="60" t="s">
        <v>4359</v>
      </c>
      <c r="F103" s="49">
        <v>15607.7</v>
      </c>
      <c r="G103" s="323">
        <f>C103*D103*0.99114/(F103*1.0037158)</f>
        <v>28153.133981967843</v>
      </c>
      <c r="H103" s="290">
        <f t="shared" ref="H103:H106" si="33">C103/F103</f>
        <v>0.14697873485523172</v>
      </c>
      <c r="I103" s="306">
        <f t="shared" ref="I103:I106" si="34">F103/C103</f>
        <v>6.8037053182214473</v>
      </c>
      <c r="J103" s="20"/>
      <c r="K103" s="20">
        <f t="shared" ref="K103:K106" si="35">H103/H102</f>
        <v>1.0934176775117634</v>
      </c>
      <c r="L103" s="97" t="s">
        <v>25</v>
      </c>
      <c r="M103" s="97"/>
      <c r="N103" s="97"/>
      <c r="R103" s="97"/>
      <c r="S103" s="97"/>
      <c r="T103" s="97"/>
      <c r="U103" s="115"/>
      <c r="V103" s="115"/>
      <c r="W103" s="97"/>
      <c r="X103" s="97"/>
      <c r="Y103" s="97"/>
    </row>
    <row r="104" spans="1:27">
      <c r="A104" s="289"/>
      <c r="B104" s="289"/>
      <c r="C104" s="291"/>
      <c r="D104" s="289"/>
      <c r="E104" s="60"/>
      <c r="F104" s="49" t="s">
        <v>25</v>
      </c>
      <c r="G104" s="323" t="e">
        <f t="shared" ref="G103:G106" si="36">C104*D104*0.99114/(F104*1.0037158)</f>
        <v>#VALUE!</v>
      </c>
      <c r="H104" s="290" t="e">
        <f t="shared" si="33"/>
        <v>#VALUE!</v>
      </c>
      <c r="I104" s="306" t="e">
        <f t="shared" si="34"/>
        <v>#VALUE!</v>
      </c>
      <c r="J104" s="20"/>
      <c r="K104" s="20" t="e">
        <f t="shared" si="35"/>
        <v>#VALUE!</v>
      </c>
      <c r="L104" s="97"/>
      <c r="M104" s="97"/>
      <c r="N104" s="97"/>
      <c r="R104" s="97"/>
      <c r="S104" s="97"/>
      <c r="T104" s="97"/>
      <c r="U104" s="97"/>
      <c r="V104" s="97"/>
      <c r="W104" s="97"/>
      <c r="X104" s="97"/>
      <c r="Y104" s="97"/>
    </row>
    <row r="105" spans="1:27">
      <c r="A105" s="289"/>
      <c r="B105" s="289"/>
      <c r="C105" s="291"/>
      <c r="D105" s="289"/>
      <c r="E105" s="60"/>
      <c r="F105" s="49"/>
      <c r="G105" s="323" t="e">
        <f t="shared" si="36"/>
        <v>#DIV/0!</v>
      </c>
      <c r="H105" s="290" t="e">
        <f t="shared" si="33"/>
        <v>#DIV/0!</v>
      </c>
      <c r="I105" s="306" t="e">
        <f t="shared" si="34"/>
        <v>#DIV/0!</v>
      </c>
      <c r="J105" s="20"/>
      <c r="K105" s="20" t="e">
        <f t="shared" si="35"/>
        <v>#DIV/0!</v>
      </c>
      <c r="L105" s="97"/>
      <c r="M105" s="97"/>
      <c r="N105" s="97"/>
      <c r="R105" s="97"/>
      <c r="S105" s="97"/>
      <c r="T105" s="97"/>
      <c r="U105" s="97"/>
      <c r="V105" s="97"/>
      <c r="W105" s="97"/>
      <c r="X105" s="97"/>
      <c r="Y105" s="97"/>
    </row>
    <row r="106" spans="1:27">
      <c r="A106" s="289"/>
      <c r="B106" s="289"/>
      <c r="C106" s="291"/>
      <c r="D106" s="289" t="s">
        <v>25</v>
      </c>
      <c r="E106" s="60"/>
      <c r="F106" s="49"/>
      <c r="G106" s="323" t="e">
        <f t="shared" si="36"/>
        <v>#VALUE!</v>
      </c>
      <c r="H106" s="290" t="e">
        <f t="shared" si="33"/>
        <v>#DIV/0!</v>
      </c>
      <c r="I106" s="306" t="e">
        <f t="shared" si="34"/>
        <v>#DIV/0!</v>
      </c>
      <c r="J106" s="20"/>
      <c r="K106" s="20" t="e">
        <f t="shared" si="35"/>
        <v>#DIV/0!</v>
      </c>
      <c r="L106" s="97"/>
      <c r="M106" s="97"/>
      <c r="N106" s="97"/>
    </row>
    <row r="107" spans="1:27">
      <c r="A107" s="289"/>
      <c r="B107" s="289"/>
      <c r="C107" s="291">
        <f>C141</f>
        <v>2299</v>
      </c>
      <c r="D107" s="289">
        <v>1</v>
      </c>
      <c r="E107" s="60" t="s">
        <v>4359</v>
      </c>
      <c r="F107" s="49">
        <f>C143</f>
        <v>15400</v>
      </c>
      <c r="G107" s="289">
        <f t="shared" si="29"/>
        <v>0.14741527717023373</v>
      </c>
      <c r="H107" s="290">
        <f>C107/F107</f>
        <v>0.1492857142857143</v>
      </c>
      <c r="I107" s="306">
        <f>F107/C107</f>
        <v>6.6985645933014357</v>
      </c>
      <c r="J107" s="97"/>
      <c r="K107" s="97">
        <f>H107/H103</f>
        <v>1.0156960082202018</v>
      </c>
      <c r="L107" s="97">
        <f>(1/K107-1.0256)*100</f>
        <v>-4.105345073050537</v>
      </c>
      <c r="M107" s="97"/>
      <c r="N107" s="97"/>
    </row>
    <row r="108" spans="1:27">
      <c r="A108" s="298"/>
      <c r="B108" s="298"/>
      <c r="C108" s="299"/>
      <c r="D108" s="298"/>
      <c r="E108" s="298"/>
      <c r="F108" s="299"/>
      <c r="G108" s="298"/>
      <c r="H108" s="300"/>
      <c r="I108" s="307"/>
      <c r="J108" s="298"/>
      <c r="K108" s="298"/>
      <c r="L108" s="298"/>
      <c r="M108" s="298"/>
      <c r="N108" s="97"/>
      <c r="O108" t="s">
        <v>25</v>
      </c>
      <c r="R108" s="97" t="s">
        <v>744</v>
      </c>
      <c r="S108" s="97"/>
      <c r="T108" s="97"/>
      <c r="U108" s="97"/>
      <c r="V108" s="97"/>
      <c r="W108" s="97" t="s">
        <v>1220</v>
      </c>
      <c r="X108" s="97" t="s">
        <v>926</v>
      </c>
      <c r="Y108" s="67" t="s">
        <v>5471</v>
      </c>
      <c r="Z108" t="s">
        <v>25</v>
      </c>
    </row>
    <row r="109" spans="1:27" ht="18.75">
      <c r="A109" s="289" t="s">
        <v>5462</v>
      </c>
      <c r="B109" s="289" t="s">
        <v>4221</v>
      </c>
      <c r="C109" s="291">
        <v>591</v>
      </c>
      <c r="D109" s="289">
        <v>10061</v>
      </c>
      <c r="E109" s="287" t="s">
        <v>4363</v>
      </c>
      <c r="F109" s="288">
        <v>7941</v>
      </c>
      <c r="G109" s="296">
        <f t="shared" si="10"/>
        <v>738.05353120447069</v>
      </c>
      <c r="H109" s="295">
        <f t="shared" si="8"/>
        <v>7.4423876086135252E-2</v>
      </c>
      <c r="I109" s="306">
        <f t="shared" si="9"/>
        <v>13.436548223350254</v>
      </c>
      <c r="J109" s="97" t="s">
        <v>452</v>
      </c>
      <c r="K109" s="308">
        <v>1</v>
      </c>
      <c r="L109" s="97"/>
      <c r="M109" s="97" t="s">
        <v>25</v>
      </c>
      <c r="N109" s="97"/>
      <c r="R109" s="97"/>
      <c r="S109" s="97" t="s">
        <v>4363</v>
      </c>
      <c r="T109" s="97">
        <v>4279</v>
      </c>
      <c r="U109" s="115">
        <v>32796123</v>
      </c>
      <c r="V109" s="115">
        <f>U109/T109</f>
        <v>7664.436316896471</v>
      </c>
      <c r="W109" s="115">
        <f>V109*1.01</f>
        <v>7741.0806800654354</v>
      </c>
      <c r="X109" s="97">
        <f>X95</f>
        <v>19234.599999999999</v>
      </c>
      <c r="Y109" s="97">
        <f>T109*X109</f>
        <v>82304853.399999991</v>
      </c>
    </row>
    <row r="110" spans="1:27" ht="18.75">
      <c r="A110" s="289" t="s">
        <v>5463</v>
      </c>
      <c r="B110" s="289" t="s">
        <v>4221</v>
      </c>
      <c r="C110" s="291">
        <v>612</v>
      </c>
      <c r="D110" s="289">
        <v>27000</v>
      </c>
      <c r="E110" s="287" t="s">
        <v>4363</v>
      </c>
      <c r="F110" s="288">
        <v>7835</v>
      </c>
      <c r="G110" s="296">
        <f t="shared" si="10"/>
        <v>2078.7899765676852</v>
      </c>
      <c r="H110" s="295">
        <f t="shared" si="8"/>
        <v>7.8111040204211876E-2</v>
      </c>
      <c r="I110" s="306">
        <f t="shared" si="9"/>
        <v>12.802287581699346</v>
      </c>
      <c r="J110" s="97"/>
      <c r="K110" s="308">
        <f t="shared" ref="K110:K121" si="37">H110/H109</f>
        <v>1.0495427584799433</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5474</v>
      </c>
      <c r="B111" s="289" t="s">
        <v>4221</v>
      </c>
      <c r="C111" s="291">
        <v>657</v>
      </c>
      <c r="D111" s="289">
        <v>76080</v>
      </c>
      <c r="E111" s="287" t="s">
        <v>4363</v>
      </c>
      <c r="F111" s="288">
        <v>8202</v>
      </c>
      <c r="G111" s="296">
        <f>C111*D111*0.99025/(F111*1.0046399)</f>
        <v>6006.9018679031451</v>
      </c>
      <c r="H111" s="295">
        <f>C111/F111</f>
        <v>8.0102414045354786E-2</v>
      </c>
      <c r="I111" s="306">
        <f>F111/C111</f>
        <v>12.484018264840183</v>
      </c>
      <c r="J111" s="97" t="s">
        <v>452</v>
      </c>
      <c r="K111" s="308">
        <f t="shared" si="37"/>
        <v>1.0254941405969848</v>
      </c>
      <c r="L111" s="97" t="s">
        <v>25</v>
      </c>
      <c r="M111" s="97"/>
      <c r="N111" s="97"/>
      <c r="R111" s="97"/>
      <c r="S111" s="97" t="s">
        <v>4221</v>
      </c>
      <c r="T111" s="97">
        <v>12936</v>
      </c>
      <c r="U111" s="115">
        <v>6322162</v>
      </c>
      <c r="V111" s="115">
        <f>U111/T111</f>
        <v>488.72619047619048</v>
      </c>
      <c r="W111" s="115">
        <f>V111*1.01</f>
        <v>493.61345238095237</v>
      </c>
      <c r="X111" s="97">
        <f>X96</f>
        <v>2290</v>
      </c>
      <c r="Y111" s="97">
        <f>T111*X111</f>
        <v>29623440</v>
      </c>
    </row>
    <row r="112" spans="1:27" ht="18.75">
      <c r="A112" s="289" t="s">
        <v>4822</v>
      </c>
      <c r="B112" s="289" t="s">
        <v>4221</v>
      </c>
      <c r="C112" s="291">
        <v>626.4</v>
      </c>
      <c r="D112" s="289">
        <v>15063</v>
      </c>
      <c r="E112" s="287" t="s">
        <v>4363</v>
      </c>
      <c r="F112" s="288">
        <v>7808</v>
      </c>
      <c r="G112" s="296">
        <f>C112*D112*0.99025/(F112*1.0046399)</f>
        <v>1191.1263963477256</v>
      </c>
      <c r="H112" s="295">
        <f>C112/F112</f>
        <v>8.0225409836065575E-2</v>
      </c>
      <c r="I112" s="306">
        <f>F112/C112</f>
        <v>12.464878671775224</v>
      </c>
      <c r="J112" s="97" t="s">
        <v>744</v>
      </c>
      <c r="K112" s="308">
        <f t="shared" si="37"/>
        <v>1.001535481697732</v>
      </c>
      <c r="L112" s="97"/>
      <c r="M112" s="97"/>
      <c r="N112" s="97"/>
      <c r="R112" s="97"/>
      <c r="S112" s="97" t="s">
        <v>5340</v>
      </c>
      <c r="T112" s="97">
        <v>4687</v>
      </c>
      <c r="U112" s="115">
        <v>1911597</v>
      </c>
      <c r="V112" s="115">
        <f>U112/T112</f>
        <v>407.85086409216984</v>
      </c>
      <c r="W112" s="115">
        <f>V112*1.01</f>
        <v>411.92937273309155</v>
      </c>
      <c r="X112" s="97">
        <f>X98</f>
        <v>2038</v>
      </c>
      <c r="Y112" s="97">
        <f>T112*X112</f>
        <v>9552106</v>
      </c>
    </row>
    <row r="113" spans="1:25" ht="18.75">
      <c r="A113" s="289" t="s">
        <v>5466</v>
      </c>
      <c r="B113" s="289" t="s">
        <v>4221</v>
      </c>
      <c r="C113" s="291">
        <v>626.4</v>
      </c>
      <c r="D113" s="289">
        <v>128144</v>
      </c>
      <c r="E113" s="287" t="s">
        <v>4363</v>
      </c>
      <c r="F113" s="288">
        <v>7807</v>
      </c>
      <c r="G113" s="296">
        <f>C113*D113*0.99025/(F113*1.0046399)</f>
        <v>10134.452105643004</v>
      </c>
      <c r="H113" s="295">
        <f>C113/F113</f>
        <v>8.023568592288971E-2</v>
      </c>
      <c r="I113" s="306">
        <f>F113/C113</f>
        <v>12.463282247765006</v>
      </c>
      <c r="J113" s="97" t="s">
        <v>452</v>
      </c>
      <c r="K113" s="308">
        <f t="shared" si="37"/>
        <v>1.0001280901754834</v>
      </c>
      <c r="L113" s="97"/>
      <c r="M113" s="97"/>
      <c r="N113" s="97"/>
      <c r="R113" s="97" t="s">
        <v>5439</v>
      </c>
      <c r="S113" s="97" t="s">
        <v>4522</v>
      </c>
      <c r="T113" s="97">
        <v>0</v>
      </c>
      <c r="U113" s="115">
        <v>180438</v>
      </c>
      <c r="V113" s="115"/>
      <c r="W113" s="115"/>
      <c r="X113" s="97">
        <f>X99</f>
        <v>1500</v>
      </c>
      <c r="Y113" s="93">
        <f>U113</f>
        <v>180438</v>
      </c>
    </row>
    <row r="114" spans="1:25" ht="18.75">
      <c r="A114" s="289" t="s">
        <v>5474</v>
      </c>
      <c r="B114" s="289" t="s">
        <v>4221</v>
      </c>
      <c r="C114" s="291">
        <v>656.8</v>
      </c>
      <c r="D114" s="289">
        <v>72223</v>
      </c>
      <c r="E114" s="287" t="s">
        <v>4363</v>
      </c>
      <c r="F114" s="288">
        <v>8184</v>
      </c>
      <c r="G114" s="296">
        <f t="shared" si="10"/>
        <v>5713.1743300846874</v>
      </c>
      <c r="H114" s="295">
        <f>C114/F114</f>
        <v>8.0254154447702827E-2</v>
      </c>
      <c r="I114" s="306">
        <f>F114/C114</f>
        <v>12.460414129110841</v>
      </c>
      <c r="J114" s="97" t="s">
        <v>744</v>
      </c>
      <c r="K114" s="308">
        <f t="shared" si="37"/>
        <v>1.0002301784374457</v>
      </c>
      <c r="L114" s="97"/>
      <c r="M114" s="97" t="s">
        <v>25</v>
      </c>
      <c r="N114" s="97"/>
      <c r="R114" s="97"/>
      <c r="S114" s="97"/>
      <c r="T114" s="97"/>
      <c r="U114" s="115"/>
      <c r="V114" s="115"/>
      <c r="W114" s="115"/>
      <c r="X114" s="97"/>
      <c r="Y114" s="97"/>
    </row>
    <row r="115" spans="1:25" ht="27" customHeight="1">
      <c r="A115" s="289" t="s">
        <v>5525</v>
      </c>
      <c r="B115" s="289" t="s">
        <v>4221</v>
      </c>
      <c r="C115" s="291">
        <v>864.7</v>
      </c>
      <c r="D115" s="289">
        <v>10000</v>
      </c>
      <c r="E115" s="287" t="s">
        <v>4363</v>
      </c>
      <c r="F115" s="288">
        <v>10794</v>
      </c>
      <c r="G115" s="296">
        <f t="shared" ref="G115" si="38">C115*D115*0.99025/(F115*1.0046399)</f>
        <v>789.6187890074915</v>
      </c>
      <c r="H115" s="297">
        <f t="shared" ref="H115" si="39">C115/F115</f>
        <v>8.0109319992588482E-2</v>
      </c>
      <c r="I115" s="306">
        <f t="shared" ref="I115" si="40">F115/C115</f>
        <v>12.482942060830345</v>
      </c>
      <c r="J115" s="97" t="s">
        <v>452</v>
      </c>
      <c r="K115" s="308">
        <f t="shared" si="37"/>
        <v>0.99819530270911117</v>
      </c>
      <c r="L115" s="97"/>
      <c r="M115" s="97"/>
      <c r="N115" s="97">
        <f>88/73</f>
        <v>1.2054794520547945</v>
      </c>
      <c r="R115" s="97"/>
      <c r="S115" s="97"/>
      <c r="T115" s="97"/>
      <c r="U115" s="115">
        <v>141800000</v>
      </c>
      <c r="V115" s="115"/>
      <c r="W115" s="115"/>
      <c r="X115" s="97"/>
      <c r="Y115" s="93">
        <f>SUM(Y109:Y113)</f>
        <v>304960837.39999998</v>
      </c>
    </row>
    <row r="116" spans="1:25" ht="18.75">
      <c r="A116" s="289" t="s">
        <v>5525</v>
      </c>
      <c r="B116" s="289" t="s">
        <v>4221</v>
      </c>
      <c r="C116" s="291">
        <v>872.5</v>
      </c>
      <c r="D116" s="289">
        <v>50000</v>
      </c>
      <c r="E116" s="287" t="s">
        <v>4363</v>
      </c>
      <c r="F116" s="288">
        <v>10839</v>
      </c>
      <c r="G116" s="296">
        <f>C116*D116*0.99025/(F116*1.0046399)</f>
        <v>3967.1685488397402</v>
      </c>
      <c r="H116" s="297">
        <f>C116/F116</f>
        <v>8.0496355752375681E-2</v>
      </c>
      <c r="I116" s="306">
        <f>F116/C116</f>
        <v>12.422922636103152</v>
      </c>
      <c r="J116" s="97" t="s">
        <v>452</v>
      </c>
      <c r="K116" s="308">
        <f t="shared" si="37"/>
        <v>1.0048313449648931</v>
      </c>
      <c r="L116" s="97"/>
      <c r="M116" s="97"/>
      <c r="N116" s="97"/>
    </row>
    <row r="117" spans="1:25" ht="18.75">
      <c r="A117" s="289" t="s">
        <v>5478</v>
      </c>
      <c r="B117" s="289" t="s">
        <v>4221</v>
      </c>
      <c r="C117" s="291">
        <v>689.6</v>
      </c>
      <c r="D117" s="289">
        <v>78468</v>
      </c>
      <c r="E117" s="287" t="s">
        <v>4363</v>
      </c>
      <c r="F117" s="288">
        <v>8462</v>
      </c>
      <c r="G117" s="296">
        <f t="shared" ref="G117" si="41">C117*D117*0.99025/(F117*1.0046399)</f>
        <v>6303.0571343067613</v>
      </c>
      <c r="H117" s="297">
        <f t="shared" ref="H117" si="42">C117/F117</f>
        <v>8.1493736705270631E-2</v>
      </c>
      <c r="I117" s="306">
        <f t="shared" ref="I117" si="43">F117/C117</f>
        <v>12.270881670533642</v>
      </c>
      <c r="J117" s="97" t="s">
        <v>452</v>
      </c>
      <c r="K117" s="308">
        <f t="shared" si="37"/>
        <v>1.0123903864165369</v>
      </c>
      <c r="L117" s="97"/>
      <c r="M117" s="97"/>
      <c r="N117" s="97" t="s">
        <v>25</v>
      </c>
    </row>
    <row r="118" spans="1:25" ht="18.75">
      <c r="A118" s="289" t="s">
        <v>5525</v>
      </c>
      <c r="B118" s="289" t="s">
        <v>4221</v>
      </c>
      <c r="C118" s="291">
        <v>887.6</v>
      </c>
      <c r="D118" s="289">
        <v>100000</v>
      </c>
      <c r="E118" s="287" t="s">
        <v>4363</v>
      </c>
      <c r="F118" s="288">
        <v>10887</v>
      </c>
      <c r="G118" s="296">
        <f>C118*D118*0.99025/(F118*1.0046399)</f>
        <v>8036.0660793919105</v>
      </c>
      <c r="H118" s="297">
        <f>C118/F118</f>
        <v>8.1528428400845052E-2</v>
      </c>
      <c r="I118" s="306">
        <f>F118/C118</f>
        <v>12.265660207300586</v>
      </c>
      <c r="J118" s="97" t="s">
        <v>452</v>
      </c>
      <c r="K118" s="308">
        <f t="shared" si="37"/>
        <v>1.0004256976913439</v>
      </c>
      <c r="L118" s="97"/>
      <c r="M118" s="97" t="s">
        <v>25</v>
      </c>
      <c r="N118" s="97"/>
      <c r="Q118" t="s">
        <v>25</v>
      </c>
      <c r="R118" t="s">
        <v>25</v>
      </c>
      <c r="W118" t="s">
        <v>5472</v>
      </c>
      <c r="X118" s="112">
        <f>Y102+Y115-U102-U115</f>
        <v>703986138.79999995</v>
      </c>
    </row>
    <row r="119" spans="1:25" ht="18.75">
      <c r="A119" s="289" t="s">
        <v>5525</v>
      </c>
      <c r="B119" s="289" t="s">
        <v>4221</v>
      </c>
      <c r="C119" s="291">
        <v>896.4</v>
      </c>
      <c r="D119" s="289">
        <v>70000</v>
      </c>
      <c r="E119" s="287" t="s">
        <v>4363</v>
      </c>
      <c r="F119" s="288">
        <v>10963</v>
      </c>
      <c r="G119" s="296">
        <f>C119*D119*0.99025/(F119*1.0046399)</f>
        <v>5641.6339272996938</v>
      </c>
      <c r="H119" s="297">
        <f>C119/F119</f>
        <v>8.1765939979932492E-2</v>
      </c>
      <c r="I119" s="306">
        <f>F119/C119</f>
        <v>12.230031236055332</v>
      </c>
      <c r="J119" s="97" t="s">
        <v>452</v>
      </c>
      <c r="K119" s="308">
        <f t="shared" si="37"/>
        <v>1.002913236324386</v>
      </c>
      <c r="L119" s="97"/>
      <c r="M119" s="97"/>
      <c r="N119" s="97"/>
      <c r="R119" t="s">
        <v>25</v>
      </c>
    </row>
    <row r="120" spans="1:25" ht="18.75">
      <c r="A120" s="289" t="s">
        <v>5525</v>
      </c>
      <c r="B120" s="289" t="s">
        <v>4221</v>
      </c>
      <c r="C120" s="291">
        <v>899.9</v>
      </c>
      <c r="D120" s="289">
        <v>10000</v>
      </c>
      <c r="E120" s="287" t="s">
        <v>4363</v>
      </c>
      <c r="F120" s="288">
        <v>10975</v>
      </c>
      <c r="G120" s="296">
        <f>C120*D120*0.99025/(F120*1.0046399)</f>
        <v>808.20987311451961</v>
      </c>
      <c r="H120" s="297">
        <f>C120/F120</f>
        <v>8.1995444191343955E-2</v>
      </c>
      <c r="I120" s="306">
        <f>F120/C120</f>
        <v>12.195799533281477</v>
      </c>
      <c r="J120" s="97" t="s">
        <v>452</v>
      </c>
      <c r="K120" s="308">
        <f t="shared" si="37"/>
        <v>1.0028068436743685</v>
      </c>
      <c r="L120" s="320">
        <f>SUM(G109:G130)</f>
        <v>243358.09915405852</v>
      </c>
      <c r="M120" s="217" t="s">
        <v>5595</v>
      </c>
      <c r="N120" s="97"/>
      <c r="R120" t="s">
        <v>25</v>
      </c>
    </row>
    <row r="121" spans="1:25" ht="18.75">
      <c r="A121" s="289" t="s">
        <v>5525</v>
      </c>
      <c r="B121" s="289" t="s">
        <v>4221</v>
      </c>
      <c r="C121" s="291">
        <v>903</v>
      </c>
      <c r="D121" s="289">
        <v>5000</v>
      </c>
      <c r="E121" s="287" t="s">
        <v>4363</v>
      </c>
      <c r="F121" s="288">
        <v>11012</v>
      </c>
      <c r="G121" s="296">
        <f>C121*D121*0.99025/(F121*1.0046399)</f>
        <v>404.13455007133837</v>
      </c>
      <c r="H121" s="297">
        <f>C121/F121</f>
        <v>8.2001452960406826E-2</v>
      </c>
      <c r="I121" s="306">
        <f>F121/C121</f>
        <v>12.194905869324474</v>
      </c>
      <c r="J121" s="97" t="s">
        <v>452</v>
      </c>
      <c r="K121" s="308">
        <f t="shared" si="37"/>
        <v>1.0000732817429325</v>
      </c>
      <c r="L121" s="60">
        <f>SUM(G95:G102)</f>
        <v>139035.52277605905</v>
      </c>
      <c r="M121" s="60" t="s">
        <v>5596</v>
      </c>
      <c r="N121" s="97"/>
      <c r="R121" t="s">
        <v>25</v>
      </c>
    </row>
    <row r="122" spans="1:25" ht="19.5">
      <c r="A122" s="289" t="s">
        <v>5525</v>
      </c>
      <c r="B122" s="289" t="s">
        <v>4221</v>
      </c>
      <c r="C122" s="291">
        <v>906.8</v>
      </c>
      <c r="D122" s="289">
        <v>3956</v>
      </c>
      <c r="E122" s="287" t="s">
        <v>4363</v>
      </c>
      <c r="F122" s="288">
        <v>10989</v>
      </c>
      <c r="G122" s="296">
        <f t="shared" ref="G122:G124" si="44">C122*D122*0.99025/(F122*1.0046399)</f>
        <v>321.76888796380018</v>
      </c>
      <c r="H122" s="302">
        <f t="shared" ref="H122:H124" si="45">C122/F122</f>
        <v>8.2518882518882508E-2</v>
      </c>
      <c r="I122" s="306">
        <f t="shared" ref="I122:I124" si="46">F122/C122</f>
        <v>12.118438464931629</v>
      </c>
      <c r="J122" s="97" t="s">
        <v>452</v>
      </c>
      <c r="K122" s="308">
        <f>H122/H121</f>
        <v>1.006310004759617</v>
      </c>
      <c r="L122" s="23">
        <v>0</v>
      </c>
      <c r="M122" s="23" t="s">
        <v>5597</v>
      </c>
      <c r="N122" s="97"/>
      <c r="R122" t="s">
        <v>25</v>
      </c>
      <c r="S122" t="s">
        <v>25</v>
      </c>
    </row>
    <row r="123" spans="1:25" ht="19.5">
      <c r="A123" s="289" t="s">
        <v>5607</v>
      </c>
      <c r="B123" s="289" t="s">
        <v>4221</v>
      </c>
      <c r="C123" s="291">
        <v>1496</v>
      </c>
      <c r="D123" s="289">
        <v>400000</v>
      </c>
      <c r="E123" s="287" t="s">
        <v>4363</v>
      </c>
      <c r="F123" s="288">
        <v>17598.400000000001</v>
      </c>
      <c r="G123" s="296">
        <f t="shared" si="44"/>
        <v>33516.049930930109</v>
      </c>
      <c r="H123" s="302">
        <f t="shared" si="45"/>
        <v>8.5007727975270467E-2</v>
      </c>
      <c r="I123" s="306">
        <f t="shared" si="46"/>
        <v>11.763636363636365</v>
      </c>
      <c r="J123" s="97" t="s">
        <v>452</v>
      </c>
      <c r="K123" s="308">
        <f t="shared" ref="K123:K130" si="47">H123/H122</f>
        <v>1.0301609205119622</v>
      </c>
      <c r="L123" s="97"/>
      <c r="M123" s="97"/>
      <c r="N123" s="97"/>
      <c r="R123" t="s">
        <v>25</v>
      </c>
      <c r="S123" t="s">
        <v>25</v>
      </c>
    </row>
    <row r="124" spans="1:25" ht="19.5">
      <c r="A124" s="289" t="s">
        <v>5607</v>
      </c>
      <c r="B124" s="289" t="s">
        <v>4221</v>
      </c>
      <c r="C124" s="291">
        <v>1496</v>
      </c>
      <c r="D124" s="289">
        <v>60000</v>
      </c>
      <c r="E124" s="287" t="s">
        <v>5606</v>
      </c>
      <c r="F124" s="288">
        <v>17502.3</v>
      </c>
      <c r="G124" s="296">
        <f t="shared" si="44"/>
        <v>5055.0115108112705</v>
      </c>
      <c r="H124" s="302">
        <f t="shared" si="45"/>
        <v>8.5474480496848984E-2</v>
      </c>
      <c r="I124" s="306">
        <f t="shared" si="46"/>
        <v>11.699398395721925</v>
      </c>
      <c r="J124" s="97" t="s">
        <v>452</v>
      </c>
      <c r="K124" s="308">
        <f t="shared" si="47"/>
        <v>1.00549070693566</v>
      </c>
      <c r="L124" s="97"/>
      <c r="M124" s="97"/>
      <c r="N124" s="97"/>
    </row>
    <row r="125" spans="1:25" ht="19.5">
      <c r="A125" s="289" t="s">
        <v>5611</v>
      </c>
      <c r="B125" s="289" t="s">
        <v>4221</v>
      </c>
      <c r="C125" s="291">
        <v>1569</v>
      </c>
      <c r="D125" s="289">
        <v>200000</v>
      </c>
      <c r="E125" s="287" t="s">
        <v>4363</v>
      </c>
      <c r="F125" s="288">
        <v>18007.900000000001</v>
      </c>
      <c r="G125" s="296">
        <f t="shared" ref="G125:G126" si="48">C125*D125*0.99025/(F125*1.0046399)</f>
        <v>17176.089622804029</v>
      </c>
      <c r="H125" s="302">
        <f>C125/F125</f>
        <v>8.7128426968163961E-2</v>
      </c>
      <c r="I125" s="306">
        <f t="shared" ref="I125:I127" si="49">F125/C125</f>
        <v>11.477310388782666</v>
      </c>
      <c r="J125" s="97" t="s">
        <v>452</v>
      </c>
      <c r="K125" s="308">
        <f t="shared" si="47"/>
        <v>1.0193501786931123</v>
      </c>
      <c r="L125" s="97"/>
      <c r="M125" s="97"/>
      <c r="N125" s="97"/>
    </row>
    <row r="126" spans="1:25" ht="19.5">
      <c r="A126" s="289" t="s">
        <v>5635</v>
      </c>
      <c r="B126" s="289" t="s">
        <v>4221</v>
      </c>
      <c r="C126" s="291">
        <v>1805.9</v>
      </c>
      <c r="D126" s="289">
        <v>49356</v>
      </c>
      <c r="E126" s="287" t="s">
        <v>4363</v>
      </c>
      <c r="F126" s="288">
        <v>19287.3</v>
      </c>
      <c r="G126" s="296">
        <f t="shared" si="48"/>
        <v>4555.0866881669281</v>
      </c>
      <c r="H126" s="302">
        <f t="shared" ref="H126:H127" si="50">C126/F126</f>
        <v>9.3631560664271321E-2</v>
      </c>
      <c r="I126" s="306">
        <f t="shared" si="49"/>
        <v>10.680159477268951</v>
      </c>
      <c r="J126" s="97" t="s">
        <v>452</v>
      </c>
      <c r="K126" s="308">
        <f t="shared" si="47"/>
        <v>1.0746384839299756</v>
      </c>
      <c r="L126" s="97"/>
      <c r="M126" s="97"/>
      <c r="N126" s="97"/>
      <c r="S126" t="s">
        <v>25</v>
      </c>
    </row>
    <row r="127" spans="1:25" ht="19.5">
      <c r="A127" s="289" t="s">
        <v>5685</v>
      </c>
      <c r="B127" s="289" t="s">
        <v>4221</v>
      </c>
      <c r="C127" s="291">
        <v>1799</v>
      </c>
      <c r="D127" s="289">
        <v>972991</v>
      </c>
      <c r="E127" s="287" t="s">
        <v>4363</v>
      </c>
      <c r="F127" s="288">
        <v>18150.38</v>
      </c>
      <c r="G127" s="322">
        <f>C127*D127*0.99114/(F127*1.0037158)</f>
        <v>95231.035667644304</v>
      </c>
      <c r="H127" s="302">
        <f t="shared" si="50"/>
        <v>9.911638213635196E-2</v>
      </c>
      <c r="I127" s="306">
        <f t="shared" si="49"/>
        <v>10.089149527515287</v>
      </c>
      <c r="J127" s="97"/>
      <c r="K127" s="308">
        <f t="shared" si="47"/>
        <v>1.0585787680261702</v>
      </c>
      <c r="L127" s="97"/>
      <c r="M127" s="97"/>
      <c r="N127" s="97"/>
    </row>
    <row r="128" spans="1:25" ht="19.5">
      <c r="A128" s="289" t="s">
        <v>5688</v>
      </c>
      <c r="B128" s="289" t="s">
        <v>4221</v>
      </c>
      <c r="C128" s="291">
        <v>1868</v>
      </c>
      <c r="D128" s="289">
        <v>116742</v>
      </c>
      <c r="E128" s="287" t="s">
        <v>4363</v>
      </c>
      <c r="F128" s="288">
        <v>17760</v>
      </c>
      <c r="G128" s="322">
        <f t="shared" ref="G128:G138" si="51">C128*D128*0.99114/(F128*1.0037158)</f>
        <v>12125.098703723192</v>
      </c>
      <c r="H128" s="302">
        <f t="shared" ref="H128:H130" si="52">C128/F128</f>
        <v>0.10518018018018017</v>
      </c>
      <c r="I128" s="306">
        <f t="shared" ref="I128:I130" si="53">F128/C128</f>
        <v>9.5074946466809429</v>
      </c>
      <c r="J128" s="97"/>
      <c r="K128" s="308">
        <f t="shared" si="47"/>
        <v>1.0611785651688375</v>
      </c>
      <c r="L128" s="97"/>
      <c r="M128" s="97"/>
      <c r="N128" s="97"/>
    </row>
    <row r="129" spans="1:20" ht="19.5">
      <c r="A129" s="289" t="s">
        <v>5693</v>
      </c>
      <c r="B129" s="289" t="s">
        <v>4221</v>
      </c>
      <c r="C129" s="291">
        <v>1911</v>
      </c>
      <c r="D129" s="289">
        <v>63500</v>
      </c>
      <c r="E129" s="287" t="s">
        <v>4363</v>
      </c>
      <c r="F129" s="288">
        <v>17698.400000000001</v>
      </c>
      <c r="G129" s="322">
        <f t="shared" si="51"/>
        <v>6770.5609012338327</v>
      </c>
      <c r="H129" s="302">
        <f t="shared" si="52"/>
        <v>0.10797586222483388</v>
      </c>
      <c r="I129" s="306">
        <f t="shared" si="53"/>
        <v>9.2613291470434334</v>
      </c>
      <c r="J129" s="97" t="s">
        <v>25</v>
      </c>
      <c r="K129" s="308">
        <f t="shared" si="47"/>
        <v>1.0265799320733671</v>
      </c>
      <c r="L129" s="97"/>
      <c r="M129" s="97"/>
      <c r="N129" s="97"/>
      <c r="S129" t="s">
        <v>25</v>
      </c>
      <c r="T129" t="s">
        <v>25</v>
      </c>
    </row>
    <row r="130" spans="1:20" ht="19.5">
      <c r="A130" s="289" t="s">
        <v>5674</v>
      </c>
      <c r="B130" s="289" t="s">
        <v>4221</v>
      </c>
      <c r="C130" s="291">
        <v>1943.72</v>
      </c>
      <c r="D130" s="289">
        <v>152164</v>
      </c>
      <c r="E130" s="287" t="s">
        <v>4363</v>
      </c>
      <c r="F130" s="288">
        <v>17389.599999999999</v>
      </c>
      <c r="G130" s="322">
        <f t="shared" si="51"/>
        <v>16795.010130998886</v>
      </c>
      <c r="H130" s="302">
        <f t="shared" si="52"/>
        <v>0.1117748539356857</v>
      </c>
      <c r="I130" s="306">
        <f t="shared" si="53"/>
        <v>8.9465560883254778</v>
      </c>
      <c r="J130" s="97"/>
      <c r="K130" s="308">
        <f t="shared" si="47"/>
        <v>1.0351837126610883</v>
      </c>
      <c r="L130" s="97"/>
      <c r="M130" s="97"/>
      <c r="N130" s="97"/>
      <c r="R130" t="s">
        <v>25</v>
      </c>
    </row>
    <row r="131" spans="1:20" ht="19.5">
      <c r="A131" s="289" t="s">
        <v>5672</v>
      </c>
      <c r="B131" s="289" t="s">
        <v>4221</v>
      </c>
      <c r="C131" s="291">
        <v>1995</v>
      </c>
      <c r="D131" s="289">
        <v>100000</v>
      </c>
      <c r="E131" s="287" t="s">
        <v>4363</v>
      </c>
      <c r="F131" s="288">
        <v>17849</v>
      </c>
      <c r="G131" s="322">
        <f t="shared" ref="G131" si="54">C131*D131*0.99114/(F131*1.0037158)</f>
        <v>11037.056185487527</v>
      </c>
      <c r="H131" s="302">
        <f t="shared" ref="H131" si="55">C131/F131</f>
        <v>0.11177096756120791</v>
      </c>
      <c r="I131" s="306">
        <f t="shared" ref="I131" si="56">F131/C131</f>
        <v>8.9468671679198</v>
      </c>
      <c r="J131" s="97"/>
      <c r="K131" s="308">
        <f t="shared" ref="K131" si="57">H131/H130</f>
        <v>0.9999652303327542</v>
      </c>
      <c r="L131" s="97"/>
      <c r="M131" s="97"/>
      <c r="N131" s="97"/>
    </row>
    <row r="132" spans="1:20" ht="19.5">
      <c r="A132" s="289" t="s">
        <v>5711</v>
      </c>
      <c r="B132" s="289" t="s">
        <v>4221</v>
      </c>
      <c r="C132" s="291">
        <v>2094</v>
      </c>
      <c r="D132" s="289">
        <v>20000</v>
      </c>
      <c r="E132" s="287" t="s">
        <v>4363</v>
      </c>
      <c r="F132" s="288">
        <v>18282.599999999999</v>
      </c>
      <c r="G132" s="322">
        <f t="shared" ref="G132:G136" si="58">C132*D132*0.99114/(F132*1.0037158)</f>
        <v>2262.0018634197863</v>
      </c>
      <c r="H132" s="302">
        <f t="shared" ref="H132:H136" si="59">C132/F132</f>
        <v>0.11453513176462868</v>
      </c>
      <c r="I132" s="306">
        <f t="shared" ref="I132:I136" si="60">F132/C132</f>
        <v>8.7309455587392542</v>
      </c>
      <c r="J132" s="97"/>
      <c r="K132" s="308">
        <f t="shared" ref="K132:K136" si="61">H132/H131</f>
        <v>1.0247306099583244</v>
      </c>
      <c r="L132" s="97"/>
      <c r="M132" s="97"/>
      <c r="N132" s="97"/>
    </row>
    <row r="133" spans="1:20" ht="19.5">
      <c r="A133" s="289" t="s">
        <v>5715</v>
      </c>
      <c r="B133" s="289" t="s">
        <v>4221</v>
      </c>
      <c r="C133" s="291">
        <v>2189</v>
      </c>
      <c r="D133" s="289">
        <v>19674</v>
      </c>
      <c r="E133" s="287" t="s">
        <v>4363</v>
      </c>
      <c r="F133" s="288">
        <v>18976.3</v>
      </c>
      <c r="G133" s="322">
        <f t="shared" si="58"/>
        <v>2241.0478728035109</v>
      </c>
      <c r="H133" s="302">
        <f t="shared" si="59"/>
        <v>0.11535441577125151</v>
      </c>
      <c r="I133" s="306">
        <f t="shared" si="60"/>
        <v>8.6689355870260396</v>
      </c>
      <c r="J133" s="97"/>
      <c r="K133" s="308">
        <f t="shared" si="61"/>
        <v>1.0071531240589697</v>
      </c>
      <c r="L133" s="97"/>
      <c r="M133" s="97"/>
      <c r="N133" s="97"/>
    </row>
    <row r="134" spans="1:20" ht="19.5">
      <c r="A134" s="289" t="s">
        <v>5720</v>
      </c>
      <c r="B134" s="289" t="s">
        <v>4221</v>
      </c>
      <c r="C134" s="291">
        <v>2294</v>
      </c>
      <c r="D134" s="289">
        <v>17556</v>
      </c>
      <c r="E134" s="287" t="s">
        <v>4363</v>
      </c>
      <c r="F134" s="288">
        <v>18635.400000000001</v>
      </c>
      <c r="G134" s="322">
        <f t="shared" si="58"/>
        <v>2134.0496018026711</v>
      </c>
      <c r="H134" s="302">
        <f t="shared" si="59"/>
        <v>0.1230990480483381</v>
      </c>
      <c r="I134" s="306">
        <f t="shared" si="60"/>
        <v>8.1235396687009604</v>
      </c>
      <c r="J134" s="97"/>
      <c r="K134" s="308">
        <f t="shared" si="61"/>
        <v>1.0671377183552664</v>
      </c>
      <c r="L134" s="97"/>
      <c r="M134" s="97"/>
      <c r="N134" s="97"/>
    </row>
    <row r="135" spans="1:20" ht="19.5">
      <c r="A135" s="289"/>
      <c r="B135" s="289"/>
      <c r="C135" s="291"/>
      <c r="D135" s="289"/>
      <c r="E135" s="287"/>
      <c r="F135" s="288"/>
      <c r="G135" s="322" t="e">
        <f t="shared" si="58"/>
        <v>#DIV/0!</v>
      </c>
      <c r="H135" s="302" t="e">
        <f t="shared" si="59"/>
        <v>#DIV/0!</v>
      </c>
      <c r="I135" s="306" t="e">
        <f t="shared" si="60"/>
        <v>#DIV/0!</v>
      </c>
      <c r="J135" s="97"/>
      <c r="K135" s="308" t="e">
        <f t="shared" si="61"/>
        <v>#DIV/0!</v>
      </c>
      <c r="L135" s="97"/>
      <c r="M135" s="97"/>
      <c r="N135" s="97"/>
    </row>
    <row r="136" spans="1:20" ht="19.5">
      <c r="A136" s="289"/>
      <c r="B136" s="289"/>
      <c r="C136" s="291"/>
      <c r="D136" s="289"/>
      <c r="E136" s="287"/>
      <c r="F136" s="288"/>
      <c r="G136" s="322" t="e">
        <f t="shared" si="58"/>
        <v>#DIV/0!</v>
      </c>
      <c r="H136" s="302" t="e">
        <f t="shared" si="59"/>
        <v>#DIV/0!</v>
      </c>
      <c r="I136" s="306" t="e">
        <f t="shared" si="60"/>
        <v>#DIV/0!</v>
      </c>
      <c r="J136" s="97"/>
      <c r="K136" s="308" t="e">
        <f t="shared" si="61"/>
        <v>#DIV/0!</v>
      </c>
      <c r="L136" s="97" t="s">
        <v>25</v>
      </c>
      <c r="M136" s="97"/>
      <c r="N136" s="97"/>
      <c r="R136" t="s">
        <v>25</v>
      </c>
    </row>
    <row r="137" spans="1:20">
      <c r="A137" s="301"/>
      <c r="B137" s="301"/>
      <c r="C137" s="301"/>
      <c r="D137" s="301"/>
      <c r="E137" s="301"/>
      <c r="F137" s="301"/>
      <c r="G137" s="301"/>
      <c r="H137" s="301"/>
      <c r="I137" s="301"/>
      <c r="J137" s="313"/>
      <c r="K137" s="313"/>
      <c r="L137" s="314" t="s">
        <v>5516</v>
      </c>
      <c r="M137" s="298"/>
      <c r="N137" s="97">
        <f>1/M138</f>
        <v>11.99845392567488</v>
      </c>
    </row>
    <row r="138" spans="1:20" ht="18.75">
      <c r="A138" s="289" t="s">
        <v>5522</v>
      </c>
      <c r="B138" s="289" t="s">
        <v>4221</v>
      </c>
      <c r="C138" s="316">
        <f>C141</f>
        <v>2299</v>
      </c>
      <c r="D138" s="289">
        <v>1</v>
      </c>
      <c r="E138" s="287" t="s">
        <v>4363</v>
      </c>
      <c r="F138" s="315">
        <f>C142</f>
        <v>18800</v>
      </c>
      <c r="G138" s="289">
        <f t="shared" si="51"/>
        <v>0.12075506746923401</v>
      </c>
      <c r="H138" s="290">
        <f>C138/F138</f>
        <v>0.12228723404255319</v>
      </c>
      <c r="I138" s="290">
        <f>F138/C138</f>
        <v>8.1774684645498041</v>
      </c>
      <c r="J138" s="97"/>
      <c r="K138" s="309">
        <f>H138/H134</f>
        <v>0.99340519672039929</v>
      </c>
      <c r="L138" s="310">
        <f>(1/K138-1.0256)*100</f>
        <v>-1.8961416568614053</v>
      </c>
      <c r="M138" s="97">
        <f>H122*1.01</f>
        <v>8.3344071344071333E-2</v>
      </c>
      <c r="N138" s="97">
        <f t="shared" ref="N138:N152" si="62">1/M139</f>
        <v>11.879657352153346</v>
      </c>
      <c r="S138" t="s">
        <v>25</v>
      </c>
    </row>
    <row r="139" spans="1:20">
      <c r="A139" s="289"/>
      <c r="B139" s="94"/>
      <c r="C139" s="94"/>
      <c r="D139" s="94"/>
      <c r="E139" s="94"/>
      <c r="F139" s="94"/>
      <c r="G139" s="94"/>
      <c r="H139" s="94"/>
      <c r="I139" s="94"/>
      <c r="J139" s="94"/>
      <c r="K139" s="94"/>
      <c r="L139" s="94"/>
      <c r="M139" s="97">
        <f>M138*1.01</f>
        <v>8.4177512057512047E-2</v>
      </c>
      <c r="N139" s="97">
        <f t="shared" si="62"/>
        <v>11.762036982330047</v>
      </c>
    </row>
    <row r="140" spans="1:20">
      <c r="A140" s="85"/>
      <c r="B140" s="94"/>
      <c r="C140" s="94"/>
      <c r="D140" s="94"/>
      <c r="E140" s="94"/>
      <c r="F140" s="94"/>
      <c r="G140" s="94"/>
      <c r="H140" s="94"/>
      <c r="I140" s="94"/>
      <c r="J140" s="94"/>
      <c r="K140" s="94"/>
      <c r="L140" s="94"/>
      <c r="M140" s="97">
        <f t="shared" ref="M140:M153" si="63">M139*1.01</f>
        <v>8.5019287178087169E-2</v>
      </c>
      <c r="N140" s="97">
        <f t="shared" si="62"/>
        <v>11.645581170623808</v>
      </c>
    </row>
    <row r="141" spans="1:20" ht="21">
      <c r="B141" t="s">
        <v>4221</v>
      </c>
      <c r="C141" s="312">
        <v>2299</v>
      </c>
      <c r="D141" t="s">
        <v>25</v>
      </c>
      <c r="G141" t="s">
        <v>25</v>
      </c>
      <c r="M141" s="97">
        <f t="shared" si="63"/>
        <v>8.5869480049868038E-2</v>
      </c>
      <c r="N141" s="97">
        <f t="shared" si="62"/>
        <v>11.530278386756247</v>
      </c>
    </row>
    <row r="142" spans="1:20" ht="21">
      <c r="B142" t="s">
        <v>4363</v>
      </c>
      <c r="C142" s="311">
        <v>18800</v>
      </c>
      <c r="I142" s="94" t="s">
        <v>25</v>
      </c>
      <c r="J142" t="s">
        <v>25</v>
      </c>
      <c r="M142" s="97">
        <f t="shared" si="63"/>
        <v>8.6728174850366713E-2</v>
      </c>
      <c r="N142" s="97">
        <f t="shared" si="62"/>
        <v>11.416117214610145</v>
      </c>
    </row>
    <row r="143" spans="1:20">
      <c r="B143" t="s">
        <v>4359</v>
      </c>
      <c r="C143" s="319">
        <v>15400</v>
      </c>
      <c r="G143" s="94"/>
      <c r="H143" s="94"/>
      <c r="K143" t="s">
        <v>25</v>
      </c>
      <c r="L143" t="s">
        <v>25</v>
      </c>
      <c r="M143" s="97">
        <f t="shared" si="63"/>
        <v>8.7595456598870386E-2</v>
      </c>
      <c r="N143" s="97">
        <f t="shared" si="62"/>
        <v>11.303086351099154</v>
      </c>
    </row>
    <row r="144" spans="1:20">
      <c r="B144" t="s">
        <v>4490</v>
      </c>
      <c r="C144" s="327">
        <v>5000</v>
      </c>
      <c r="F144" s="94"/>
      <c r="G144" s="94"/>
      <c r="H144" s="94"/>
      <c r="J144" t="s">
        <v>25</v>
      </c>
      <c r="M144" s="97">
        <f t="shared" si="63"/>
        <v>8.8471411164859085E-2</v>
      </c>
      <c r="N144" s="97">
        <f t="shared" si="62"/>
        <v>11.191174605048667</v>
      </c>
    </row>
    <row r="145" spans="1:14">
      <c r="C145" s="113"/>
      <c r="D145" s="113"/>
      <c r="E145" s="113"/>
      <c r="F145" s="94"/>
      <c r="G145" s="94"/>
      <c r="H145" s="94"/>
      <c r="M145" s="97">
        <f t="shared" si="63"/>
        <v>8.9356125276507672E-2</v>
      </c>
      <c r="N145" s="97">
        <f t="shared" si="62"/>
        <v>11.080370896087789</v>
      </c>
    </row>
    <row r="146" spans="1:14">
      <c r="C146" s="94"/>
      <c r="D146" s="94"/>
      <c r="E146" s="94"/>
      <c r="F146" s="94"/>
      <c r="G146" s="94"/>
      <c r="H146" s="94"/>
      <c r="I146" s="94"/>
      <c r="M146" s="97">
        <f t="shared" si="63"/>
        <v>9.0249686529272746E-2</v>
      </c>
      <c r="N146" s="97">
        <f t="shared" si="62"/>
        <v>10.970664253552266</v>
      </c>
    </row>
    <row r="147" spans="1:14">
      <c r="A147" s="289" t="s">
        <v>5715</v>
      </c>
      <c r="B147" s="289" t="s">
        <v>4221</v>
      </c>
      <c r="C147" s="289">
        <v>2189</v>
      </c>
      <c r="D147" s="289">
        <v>40326</v>
      </c>
      <c r="E147" s="61" t="s">
        <v>4490</v>
      </c>
      <c r="F147" s="61">
        <v>5060.8999999999996</v>
      </c>
      <c r="G147" s="61">
        <f t="shared" ref="G147" si="64">C147*D147*0.99114/(F147*1.0037158)</f>
        <v>17223.737352235905</v>
      </c>
      <c r="H147" s="61">
        <f t="shared" ref="H147" si="65">C147/F147</f>
        <v>0.43253176312513586</v>
      </c>
      <c r="I147" s="61">
        <f t="shared" ref="I147" si="66">F147/C147</f>
        <v>2.3119689355870259</v>
      </c>
      <c r="J147" s="61"/>
      <c r="K147" s="61">
        <v>1</v>
      </c>
      <c r="L147" s="61"/>
      <c r="M147" s="97">
        <f t="shared" si="63"/>
        <v>9.1152183394565475E-2</v>
      </c>
      <c r="N147" s="97">
        <f t="shared" si="62"/>
        <v>10.862043815398284</v>
      </c>
    </row>
    <row r="148" spans="1:14">
      <c r="A148" s="289" t="s">
        <v>5720</v>
      </c>
      <c r="B148" s="289" t="s">
        <v>4221</v>
      </c>
      <c r="C148" s="289">
        <v>2294</v>
      </c>
      <c r="D148" s="289">
        <v>82749</v>
      </c>
      <c r="E148" s="61" t="s">
        <v>4490</v>
      </c>
      <c r="F148" s="61">
        <v>4989.2</v>
      </c>
      <c r="G148" s="61">
        <f t="shared" ref="G148:G153" si="67">C148*D148*0.99114/(F148*1.0037158)</f>
        <v>37570.718187005885</v>
      </c>
      <c r="H148" s="61">
        <f t="shared" ref="H148:H153" si="68">C148/F148</f>
        <v>0.45979315321093561</v>
      </c>
      <c r="I148" s="61">
        <f t="shared" ref="I148:I153" si="69">F148/C148</f>
        <v>2.1748910200523102</v>
      </c>
      <c r="J148" s="61"/>
      <c r="K148" s="61">
        <f t="shared" ref="K148:K152" si="70">H148/H147</f>
        <v>1.0630274870192891</v>
      </c>
      <c r="L148" s="61"/>
      <c r="M148" s="97">
        <f t="shared" si="63"/>
        <v>9.2063705228511136E-2</v>
      </c>
      <c r="N148" s="97">
        <f t="shared" si="62"/>
        <v>10.754498827127014</v>
      </c>
    </row>
    <row r="149" spans="1:14">
      <c r="A149" s="289"/>
      <c r="B149" s="289"/>
      <c r="C149" s="289"/>
      <c r="D149" s="289"/>
      <c r="E149" s="61"/>
      <c r="F149" s="61"/>
      <c r="G149" s="61" t="e">
        <f t="shared" si="67"/>
        <v>#DIV/0!</v>
      </c>
      <c r="H149" s="61" t="e">
        <f t="shared" si="68"/>
        <v>#DIV/0!</v>
      </c>
      <c r="I149" s="61" t="e">
        <f t="shared" si="69"/>
        <v>#DIV/0!</v>
      </c>
      <c r="J149" s="61"/>
      <c r="K149" s="61" t="e">
        <f t="shared" si="70"/>
        <v>#DIV/0!</v>
      </c>
      <c r="L149" s="61"/>
      <c r="M149" s="97">
        <f t="shared" si="63"/>
        <v>9.2984342280796245E-2</v>
      </c>
      <c r="N149" s="97">
        <f t="shared" si="62"/>
        <v>10.648018640719815</v>
      </c>
    </row>
    <row r="150" spans="1:14">
      <c r="A150" s="289"/>
      <c r="B150" s="289"/>
      <c r="C150" s="289"/>
      <c r="D150" s="289"/>
      <c r="E150" s="61"/>
      <c r="F150" s="61"/>
      <c r="G150" s="61" t="e">
        <f t="shared" si="67"/>
        <v>#DIV/0!</v>
      </c>
      <c r="H150" s="61" t="e">
        <f t="shared" si="68"/>
        <v>#DIV/0!</v>
      </c>
      <c r="I150" s="61" t="e">
        <f t="shared" si="69"/>
        <v>#DIV/0!</v>
      </c>
      <c r="J150" s="61"/>
      <c r="K150" s="61" t="e">
        <f t="shared" si="70"/>
        <v>#DIV/0!</v>
      </c>
      <c r="L150" s="61"/>
      <c r="M150" s="97">
        <f t="shared" si="63"/>
        <v>9.3914185703604214E-2</v>
      </c>
      <c r="N150" s="97">
        <f t="shared" si="62"/>
        <v>10.542592713583975</v>
      </c>
    </row>
    <row r="151" spans="1:14">
      <c r="A151" s="289"/>
      <c r="B151" s="289"/>
      <c r="C151" s="289"/>
      <c r="D151" s="289"/>
      <c r="E151" s="61"/>
      <c r="F151" s="61"/>
      <c r="G151" s="61" t="e">
        <f t="shared" si="67"/>
        <v>#DIV/0!</v>
      </c>
      <c r="H151" s="61" t="e">
        <f t="shared" si="68"/>
        <v>#DIV/0!</v>
      </c>
      <c r="I151" s="61" t="e">
        <f t="shared" si="69"/>
        <v>#DIV/0!</v>
      </c>
      <c r="J151" s="61"/>
      <c r="K151" s="61" t="e">
        <f t="shared" si="70"/>
        <v>#DIV/0!</v>
      </c>
      <c r="L151" s="61"/>
      <c r="M151" s="97">
        <f t="shared" si="63"/>
        <v>9.4853327560640258E-2</v>
      </c>
      <c r="N151" s="97">
        <f t="shared" si="62"/>
        <v>10.438210607508886</v>
      </c>
    </row>
    <row r="152" spans="1:14">
      <c r="A152" s="289"/>
      <c r="B152" s="289"/>
      <c r="C152" s="289"/>
      <c r="D152" s="289"/>
      <c r="E152" s="61"/>
      <c r="F152" s="61"/>
      <c r="G152" s="61" t="e">
        <f t="shared" si="67"/>
        <v>#DIV/0!</v>
      </c>
      <c r="H152" s="61" t="e">
        <f t="shared" si="68"/>
        <v>#DIV/0!</v>
      </c>
      <c r="I152" s="61" t="e">
        <f t="shared" si="69"/>
        <v>#DIV/0!</v>
      </c>
      <c r="J152" s="61"/>
      <c r="K152" s="61" t="e">
        <f t="shared" si="70"/>
        <v>#DIV/0!</v>
      </c>
      <c r="L152" s="61"/>
      <c r="M152" s="97">
        <f t="shared" si="63"/>
        <v>9.5801860836246658E-2</v>
      </c>
      <c r="N152" s="97">
        <f t="shared" si="62"/>
        <v>10.334861987632561</v>
      </c>
    </row>
    <row r="153" spans="1:14">
      <c r="A153" s="289"/>
      <c r="B153" s="289" t="s">
        <v>4221</v>
      </c>
      <c r="C153" s="316">
        <f>C141</f>
        <v>2299</v>
      </c>
      <c r="D153" s="289">
        <v>1</v>
      </c>
      <c r="E153" s="61" t="s">
        <v>4490</v>
      </c>
      <c r="F153" s="61">
        <f>C144</f>
        <v>5000</v>
      </c>
      <c r="G153" s="61">
        <f t="shared" si="67"/>
        <v>0.45403905368431985</v>
      </c>
      <c r="H153" s="61">
        <f t="shared" si="68"/>
        <v>0.45979999999999999</v>
      </c>
      <c r="I153" s="61">
        <f t="shared" si="69"/>
        <v>2.1748586341887779</v>
      </c>
      <c r="J153" s="61"/>
      <c r="K153" s="61">
        <f>H153/H148</f>
        <v>1.0000148910200524</v>
      </c>
      <c r="L153" s="61">
        <f>(1/K153-1.0256)*100</f>
        <v>-2.561489079831325</v>
      </c>
      <c r="M153" s="97">
        <f t="shared" si="63"/>
        <v>9.675987944460912E-2</v>
      </c>
    </row>
    <row r="154" spans="1:14">
      <c r="B154" s="94"/>
      <c r="C154" s="94"/>
      <c r="D154" s="94"/>
      <c r="E154" s="94"/>
      <c r="F154" s="120"/>
      <c r="G154" s="120"/>
      <c r="H154" s="94"/>
      <c r="I154" s="94"/>
      <c r="J154" s="94"/>
    </row>
    <row r="155" spans="1:14">
      <c r="B155" s="94"/>
      <c r="C155" s="94"/>
      <c r="D155" s="94"/>
      <c r="E155" s="94"/>
      <c r="H155" s="94"/>
      <c r="I155" s="94"/>
    </row>
    <row r="156" spans="1:14">
      <c r="B156" s="94"/>
      <c r="C156" s="94"/>
      <c r="D156" s="94"/>
      <c r="E156" s="94"/>
      <c r="F156" s="94"/>
      <c r="G156" s="94"/>
      <c r="H156" s="94"/>
      <c r="I156" s="94"/>
      <c r="J156" s="94"/>
      <c r="M156" t="s">
        <v>25</v>
      </c>
    </row>
    <row r="157" spans="1:14">
      <c r="B157" s="94"/>
      <c r="C157" s="94"/>
      <c r="D157" s="94"/>
      <c r="E157" s="94"/>
      <c r="F157" s="94"/>
      <c r="G157" s="94"/>
      <c r="H157" s="94"/>
      <c r="I157" s="94"/>
      <c r="J157" s="94"/>
    </row>
    <row r="158" spans="1:14">
      <c r="B158" s="94"/>
      <c r="C158" s="94"/>
      <c r="D158" s="94"/>
      <c r="E158" s="94"/>
      <c r="F158" s="94"/>
      <c r="G158" s="94"/>
      <c r="I158" s="94"/>
      <c r="J158" s="94"/>
      <c r="K158" t="s">
        <v>25</v>
      </c>
    </row>
    <row r="159" spans="1:14">
      <c r="B159" s="94"/>
      <c r="C159" s="94"/>
      <c r="D159" s="94"/>
      <c r="E159" s="94"/>
      <c r="F159" s="94"/>
      <c r="G159" s="94" t="s">
        <v>5636</v>
      </c>
      <c r="I159" s="94"/>
      <c r="J159" s="94"/>
    </row>
    <row r="160" spans="1:14">
      <c r="B160" s="94"/>
      <c r="C160" s="94"/>
      <c r="D160" s="94"/>
      <c r="E160" s="94"/>
      <c r="F160" s="94"/>
      <c r="G160" s="94" t="s">
        <v>5637</v>
      </c>
      <c r="H160" s="94"/>
      <c r="I160" s="94"/>
      <c r="J160" s="94"/>
      <c r="M160" t="s">
        <v>25</v>
      </c>
    </row>
    <row r="161" spans="1:10">
      <c r="B161" s="94"/>
      <c r="C161" s="94"/>
      <c r="D161" s="94"/>
      <c r="E161" s="94"/>
      <c r="F161" s="94"/>
      <c r="G161" s="94" t="s">
        <v>5638</v>
      </c>
      <c r="H161" s="94"/>
      <c r="I161" s="94"/>
      <c r="J161" s="94"/>
    </row>
    <row r="162" spans="1:10">
      <c r="B162" s="94"/>
      <c r="C162" s="94"/>
      <c r="D162" s="94"/>
      <c r="E162" s="94"/>
      <c r="F162" s="94"/>
      <c r="G162" s="94" t="s">
        <v>5639</v>
      </c>
      <c r="H162" s="94"/>
      <c r="I162" s="94"/>
      <c r="J162" s="94"/>
    </row>
    <row r="163" spans="1:10">
      <c r="B163" s="94"/>
      <c r="C163" s="94"/>
      <c r="D163" s="94"/>
      <c r="E163" s="94"/>
      <c r="F163" s="94"/>
      <c r="G163" s="94" t="s">
        <v>5640</v>
      </c>
      <c r="I163" s="94"/>
      <c r="J163" s="94"/>
    </row>
    <row r="164" spans="1:10">
      <c r="B164" s="94"/>
      <c r="C164" s="94"/>
      <c r="D164" s="94"/>
      <c r="E164" s="94"/>
      <c r="F164" s="94"/>
      <c r="G164" s="94" t="s">
        <v>5641</v>
      </c>
      <c r="I164" s="94"/>
      <c r="J164" s="94"/>
    </row>
    <row r="165" spans="1:10">
      <c r="B165" s="94"/>
      <c r="C165" s="94"/>
      <c r="D165" s="94"/>
      <c r="E165" s="94"/>
      <c r="F165" s="94"/>
      <c r="G165" s="94"/>
      <c r="I165" s="94"/>
      <c r="J165" s="94"/>
    </row>
    <row r="166" spans="1:10">
      <c r="B166" s="94"/>
      <c r="C166" s="94"/>
      <c r="D166" s="94"/>
      <c r="E166" s="94"/>
      <c r="F166" s="94"/>
      <c r="I166" s="94"/>
      <c r="J166" s="94"/>
    </row>
    <row r="167" spans="1:10">
      <c r="B167" s="94"/>
      <c r="C167" s="94"/>
      <c r="D167" s="94"/>
      <c r="E167" s="94"/>
      <c r="F167" s="94"/>
      <c r="I167" s="94"/>
      <c r="J167" s="94"/>
    </row>
    <row r="170" spans="1:10">
      <c r="I170" s="112"/>
    </row>
    <row r="171" spans="1:10">
      <c r="G171" s="94"/>
      <c r="H171" s="94"/>
    </row>
    <row r="172" spans="1:10">
      <c r="G172" s="94"/>
      <c r="H172" s="94"/>
    </row>
    <row r="173" spans="1:10">
      <c r="G173" s="94"/>
      <c r="H173" s="94"/>
    </row>
    <row r="174" spans="1:10">
      <c r="A174" s="94"/>
      <c r="B174" s="94"/>
      <c r="C174" s="94"/>
      <c r="D174" s="94"/>
      <c r="E174" s="94"/>
      <c r="F174" s="94"/>
      <c r="G174" s="94"/>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A181" s="94"/>
      <c r="B181" s="94"/>
      <c r="C181" s="94"/>
      <c r="D181" s="94"/>
      <c r="E181" s="94"/>
      <c r="F181" s="94"/>
      <c r="G181" s="94"/>
      <c r="H181" s="94"/>
      <c r="I181" s="94"/>
      <c r="J181" s="94"/>
    </row>
    <row r="182" spans="1:10">
      <c r="A182" s="94"/>
      <c r="B182" s="94"/>
      <c r="C182" s="94"/>
      <c r="D182" s="94"/>
      <c r="E182" s="94"/>
      <c r="F182" s="94"/>
      <c r="G182" s="94"/>
      <c r="H182" s="94"/>
      <c r="I182" s="94"/>
      <c r="J182" s="94"/>
    </row>
    <row r="183" spans="1:10">
      <c r="A183" s="94"/>
      <c r="B183" s="94"/>
      <c r="C183" s="94"/>
      <c r="D183" s="94"/>
      <c r="E183" s="94"/>
      <c r="F183" s="94"/>
      <c r="G183" s="94"/>
      <c r="H183" s="94"/>
      <c r="I183" s="94"/>
      <c r="J183" s="94"/>
    </row>
    <row r="184" spans="1:10">
      <c r="A184" s="94"/>
      <c r="B184" s="94"/>
      <c r="C184" s="94"/>
      <c r="D184" s="94"/>
      <c r="E184" s="94"/>
      <c r="F184" s="94"/>
      <c r="G184" s="94"/>
      <c r="H184" s="94"/>
      <c r="I184" s="94"/>
      <c r="J184" s="94"/>
    </row>
    <row r="185" spans="1:10">
      <c r="A185" s="94"/>
      <c r="B185" s="94"/>
      <c r="C185" s="94"/>
      <c r="D185" s="94"/>
      <c r="E185" s="94"/>
      <c r="F185" s="94"/>
      <c r="G185" s="94"/>
      <c r="H185" s="94"/>
      <c r="I185" s="94"/>
      <c r="J185" s="94"/>
    </row>
    <row r="186" spans="1:10">
      <c r="A186" s="94"/>
      <c r="B186" s="94"/>
      <c r="C186" s="94"/>
      <c r="D186" s="94"/>
      <c r="E186" s="94"/>
      <c r="F186" s="94"/>
      <c r="G186" s="94"/>
      <c r="H186" s="94"/>
      <c r="I186" s="94"/>
      <c r="J186" s="94"/>
    </row>
    <row r="187" spans="1:10">
      <c r="A187" s="94"/>
      <c r="B187" s="94"/>
      <c r="C187" s="94"/>
      <c r="D187" s="94"/>
      <c r="E187" s="94"/>
      <c r="F187" s="94"/>
      <c r="G187" s="94"/>
      <c r="H187" s="94"/>
      <c r="I187" s="94"/>
      <c r="J187" s="94"/>
    </row>
    <row r="188" spans="1:10">
      <c r="A188" s="94"/>
      <c r="B188" s="94"/>
      <c r="C188" s="94"/>
      <c r="D188" s="94"/>
      <c r="E188" s="94"/>
      <c r="F188" s="94"/>
      <c r="G188" s="94"/>
      <c r="H188" s="94"/>
      <c r="I188" s="94"/>
      <c r="J188" s="94"/>
    </row>
    <row r="189" spans="1:10">
      <c r="A189" s="94"/>
      <c r="B189" s="94"/>
      <c r="C189" s="94"/>
      <c r="D189" s="94"/>
      <c r="E189" s="94"/>
      <c r="F189" s="94"/>
      <c r="G189" s="94"/>
      <c r="H189" s="94"/>
      <c r="I189" s="94"/>
      <c r="J189" s="94"/>
    </row>
    <row r="190" spans="1:10">
      <c r="A190" s="94"/>
      <c r="B190" s="94"/>
      <c r="C190" s="94"/>
      <c r="D190" s="94"/>
      <c r="E190" s="94"/>
      <c r="F190" s="94"/>
      <c r="G190" s="94"/>
      <c r="H190" s="94"/>
      <c r="I190" s="94"/>
      <c r="J190" s="94"/>
    </row>
    <row r="191" spans="1:10">
      <c r="H191" t="s">
        <v>25</v>
      </c>
    </row>
    <row r="192" spans="1:10">
      <c r="H192" t="s">
        <v>25</v>
      </c>
    </row>
    <row r="195" spans="9:9">
      <c r="I195" t="s">
        <v>25</v>
      </c>
    </row>
  </sheetData>
  <pageMargins left="0.7" right="0.7" top="0.75" bottom="0.75" header="0.3" footer="0.3"/>
  <pageSetup orientation="portrait" horizontalDpi="1200" verticalDpi="1200" r:id="rId1"/>
  <ignoredErrors>
    <ignoredError sqref="G12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I365" zoomScale="85" zoomScaleNormal="85" workbookViewId="0">
      <selection activeCell="S393" sqref="S39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4555</v>
      </c>
      <c r="D2" s="97" t="s">
        <v>4455</v>
      </c>
      <c r="J2" s="166">
        <v>1</v>
      </c>
      <c r="K2" s="166" t="s">
        <v>4263</v>
      </c>
      <c r="L2" s="111">
        <v>4270000</v>
      </c>
      <c r="M2" s="166">
        <v>10</v>
      </c>
      <c r="N2" s="111">
        <f>L2*M2</f>
        <v>42700000</v>
      </c>
      <c r="O2" s="97" t="s">
        <v>744</v>
      </c>
    </row>
    <row r="3" spans="1:20">
      <c r="A3" s="97" t="s">
        <v>4533</v>
      </c>
      <c r="B3" s="200">
        <v>1184</v>
      </c>
      <c r="C3" s="201" t="s">
        <v>4539</v>
      </c>
      <c r="D3" s="97"/>
      <c r="J3" s="166">
        <v>2</v>
      </c>
      <c r="K3" s="166" t="s">
        <v>4451</v>
      </c>
      <c r="L3" s="111">
        <v>3845000</v>
      </c>
      <c r="M3" s="166">
        <v>4</v>
      </c>
      <c r="N3" s="111">
        <f>L3*M3</f>
        <v>15380000</v>
      </c>
      <c r="O3" s="97" t="s">
        <v>452</v>
      </c>
    </row>
    <row r="4" spans="1:20">
      <c r="A4" s="97" t="s">
        <v>4534</v>
      </c>
      <c r="B4" s="200">
        <v>1804</v>
      </c>
      <c r="C4" s="201" t="s">
        <v>4540</v>
      </c>
      <c r="D4" s="97"/>
      <c r="F4" t="s">
        <v>25</v>
      </c>
      <c r="J4" s="166">
        <v>3</v>
      </c>
      <c r="K4" s="166" t="s">
        <v>4209</v>
      </c>
      <c r="L4" s="111">
        <v>3390000</v>
      </c>
      <c r="M4" s="166">
        <v>2</v>
      </c>
      <c r="N4" s="111">
        <f>L4*M4</f>
        <v>6780000</v>
      </c>
      <c r="O4" s="97" t="s">
        <v>744</v>
      </c>
    </row>
    <row r="5" spans="1:20">
      <c r="A5" s="97"/>
      <c r="B5" s="200"/>
      <c r="C5" s="201"/>
      <c r="D5" s="97"/>
      <c r="J5" s="215">
        <v>4</v>
      </c>
      <c r="K5" s="215" t="s">
        <v>4559</v>
      </c>
      <c r="L5" s="216">
        <v>0</v>
      </c>
      <c r="M5" s="215">
        <v>3</v>
      </c>
      <c r="N5" s="216">
        <f>L5*M5</f>
        <v>0</v>
      </c>
      <c r="O5" s="217" t="s">
        <v>4562</v>
      </c>
    </row>
    <row r="6" spans="1:20">
      <c r="A6" s="97" t="s">
        <v>1070</v>
      </c>
      <c r="B6" s="200">
        <v>4060000</v>
      </c>
      <c r="C6" s="167">
        <v>4260000</v>
      </c>
      <c r="D6" s="97" t="s">
        <v>4455</v>
      </c>
      <c r="F6" t="s">
        <v>25</v>
      </c>
      <c r="G6" s="94"/>
      <c r="H6" s="94"/>
      <c r="I6" s="94"/>
      <c r="J6" s="166">
        <v>5</v>
      </c>
      <c r="K6" s="166" t="s">
        <v>4563</v>
      </c>
      <c r="L6" s="111">
        <v>4183832</v>
      </c>
      <c r="M6" s="166">
        <v>6</v>
      </c>
      <c r="N6" s="111">
        <v>25071612</v>
      </c>
      <c r="O6" s="97" t="s">
        <v>452</v>
      </c>
      <c r="P6" s="94"/>
      <c r="Q6" s="94"/>
      <c r="R6" s="94"/>
      <c r="S6" s="94"/>
    </row>
    <row r="7" spans="1:20">
      <c r="A7" s="97" t="s">
        <v>4516</v>
      </c>
      <c r="B7" s="200">
        <v>1689</v>
      </c>
      <c r="C7" s="167"/>
      <c r="D7" s="97"/>
      <c r="F7" s="94">
        <v>0</v>
      </c>
      <c r="G7" s="94"/>
      <c r="H7" s="94"/>
      <c r="I7" s="94"/>
      <c r="J7" s="166">
        <v>6</v>
      </c>
      <c r="K7" s="166" t="s">
        <v>4567</v>
      </c>
      <c r="L7" s="111">
        <v>4186993</v>
      </c>
      <c r="M7" s="166">
        <v>4</v>
      </c>
      <c r="N7" s="111">
        <v>16727037</v>
      </c>
      <c r="O7" s="97" t="s">
        <v>744</v>
      </c>
      <c r="P7" s="94"/>
      <c r="Q7" s="94"/>
      <c r="R7" s="94"/>
      <c r="S7" s="94"/>
    </row>
    <row r="8" spans="1:20">
      <c r="A8" s="97" t="s">
        <v>4490</v>
      </c>
      <c r="B8" s="200">
        <v>3414</v>
      </c>
      <c r="C8" s="167">
        <v>3622</v>
      </c>
      <c r="D8" s="97"/>
      <c r="F8">
        <v>0</v>
      </c>
      <c r="G8" s="94"/>
      <c r="H8" s="94"/>
      <c r="I8" s="94"/>
      <c r="J8" s="166">
        <v>7</v>
      </c>
      <c r="K8" s="166" t="s">
        <v>4572</v>
      </c>
      <c r="L8" s="111">
        <v>4223698</v>
      </c>
      <c r="M8" s="166">
        <v>10</v>
      </c>
      <c r="N8" s="111">
        <v>42236984</v>
      </c>
      <c r="O8" s="97" t="s">
        <v>452</v>
      </c>
      <c r="P8" s="94"/>
      <c r="Q8" s="94"/>
      <c r="R8" s="94"/>
      <c r="S8" s="94"/>
    </row>
    <row r="9" spans="1:20">
      <c r="A9" s="97" t="s">
        <v>4530</v>
      </c>
      <c r="B9" s="200">
        <v>1174</v>
      </c>
      <c r="C9" s="167" t="s">
        <v>25</v>
      </c>
      <c r="D9" s="97"/>
      <c r="F9">
        <v>0</v>
      </c>
      <c r="G9" s="94"/>
      <c r="H9" s="94"/>
      <c r="I9" s="94"/>
      <c r="J9" s="166">
        <v>8</v>
      </c>
      <c r="K9" s="166" t="s">
        <v>4572</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4573</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4573</v>
      </c>
      <c r="L11" s="111">
        <f>N11/M11</f>
        <v>4369699.111111111</v>
      </c>
      <c r="M11" s="166">
        <v>4.5</v>
      </c>
      <c r="N11" s="111">
        <v>19663646</v>
      </c>
      <c r="O11" s="97" t="s">
        <v>452</v>
      </c>
      <c r="P11" s="94"/>
      <c r="Q11" s="94"/>
      <c r="R11" s="94"/>
      <c r="S11" s="94"/>
      <c r="T11" s="94"/>
    </row>
    <row r="12" spans="1:20">
      <c r="A12" s="97" t="s">
        <v>4509</v>
      </c>
      <c r="B12" s="200">
        <v>3965312</v>
      </c>
      <c r="C12" s="167"/>
      <c r="D12" s="57" t="s">
        <v>4801</v>
      </c>
      <c r="F12" s="112">
        <v>0</v>
      </c>
      <c r="J12" s="166">
        <v>11</v>
      </c>
      <c r="K12" s="166" t="s">
        <v>4596</v>
      </c>
      <c r="L12" s="111">
        <v>4374525</v>
      </c>
      <c r="M12" s="166">
        <v>1</v>
      </c>
      <c r="N12" s="111">
        <v>4374525</v>
      </c>
      <c r="O12" s="97" t="s">
        <v>744</v>
      </c>
      <c r="P12" s="94"/>
      <c r="Q12" s="94"/>
      <c r="R12" s="94"/>
      <c r="S12" s="94"/>
    </row>
    <row r="13" spans="1:20">
      <c r="A13" s="97"/>
      <c r="B13" s="200"/>
      <c r="C13" s="167"/>
      <c r="D13" s="97"/>
      <c r="F13" s="112">
        <v>0</v>
      </c>
      <c r="J13" s="166">
        <v>12</v>
      </c>
      <c r="K13" s="166" t="s">
        <v>4596</v>
      </c>
      <c r="L13" s="111">
        <v>4374525</v>
      </c>
      <c r="M13" s="166">
        <v>1</v>
      </c>
      <c r="N13" s="111">
        <v>4374525</v>
      </c>
      <c r="O13" s="97" t="s">
        <v>452</v>
      </c>
      <c r="P13" s="94"/>
      <c r="Q13" s="94"/>
      <c r="R13" s="94"/>
      <c r="S13" s="94"/>
    </row>
    <row r="14" spans="1:20">
      <c r="A14" s="97"/>
      <c r="B14" s="200"/>
      <c r="C14" s="167"/>
      <c r="D14" s="97"/>
      <c r="F14" s="112">
        <v>0</v>
      </c>
      <c r="J14" s="166">
        <v>13</v>
      </c>
      <c r="K14" s="166" t="s">
        <v>4607</v>
      </c>
      <c r="L14" s="167">
        <v>4367053</v>
      </c>
      <c r="M14" s="166">
        <v>1.5</v>
      </c>
      <c r="N14" s="111">
        <v>6550580</v>
      </c>
      <c r="O14" s="97" t="s">
        <v>744</v>
      </c>
    </row>
    <row r="15" spans="1:20">
      <c r="A15" s="97"/>
      <c r="B15" s="200"/>
      <c r="C15" s="167"/>
      <c r="D15" s="97"/>
      <c r="F15" s="112">
        <f>B12+F7+F8+F9+F10+F11+F12+F13+F14</f>
        <v>3965312</v>
      </c>
      <c r="J15" s="166">
        <v>14</v>
      </c>
      <c r="K15" s="166" t="s">
        <v>4607</v>
      </c>
      <c r="L15" s="167">
        <v>4367053</v>
      </c>
      <c r="M15" s="166">
        <v>1.5</v>
      </c>
      <c r="N15" s="111">
        <v>6550580</v>
      </c>
      <c r="O15" s="97" t="s">
        <v>452</v>
      </c>
    </row>
    <row r="16" spans="1:20">
      <c r="A16" s="97"/>
      <c r="B16" s="200"/>
      <c r="C16" s="167"/>
      <c r="D16" s="97"/>
      <c r="J16" s="207">
        <v>15</v>
      </c>
      <c r="K16" s="207" t="s">
        <v>4609</v>
      </c>
      <c r="L16" s="167">
        <v>4433930</v>
      </c>
      <c r="M16" s="207">
        <v>1.5</v>
      </c>
      <c r="N16" s="111">
        <f>L16*M16</f>
        <v>6650895</v>
      </c>
      <c r="O16" s="97" t="s">
        <v>744</v>
      </c>
    </row>
    <row r="17" spans="1:20">
      <c r="A17" s="97"/>
      <c r="J17" s="207">
        <v>16</v>
      </c>
      <c r="K17" s="207" t="s">
        <v>4609</v>
      </c>
      <c r="L17" s="167">
        <v>4433930</v>
      </c>
      <c r="M17" s="207">
        <v>1.5</v>
      </c>
      <c r="N17" s="111">
        <f>L17*M17</f>
        <v>6650895</v>
      </c>
      <c r="O17" s="97" t="s">
        <v>452</v>
      </c>
    </row>
    <row r="18" spans="1:20">
      <c r="A18" s="94"/>
      <c r="B18" s="94"/>
      <c r="C18" s="94"/>
      <c r="D18" s="94"/>
      <c r="J18" s="210">
        <v>17</v>
      </c>
      <c r="K18" s="210" t="s">
        <v>4626</v>
      </c>
      <c r="L18" s="167">
        <v>4291628</v>
      </c>
      <c r="M18" s="210">
        <v>0.5</v>
      </c>
      <c r="N18" s="111">
        <v>2145814</v>
      </c>
      <c r="O18" s="97" t="s">
        <v>744</v>
      </c>
    </row>
    <row r="19" spans="1:20">
      <c r="A19" s="94"/>
      <c r="B19" s="94"/>
      <c r="C19" s="94"/>
      <c r="D19" s="94"/>
      <c r="J19" s="210">
        <v>18</v>
      </c>
      <c r="K19" s="210" t="s">
        <v>4626</v>
      </c>
      <c r="L19" s="167">
        <v>4291628</v>
      </c>
      <c r="M19" s="210">
        <v>0.5</v>
      </c>
      <c r="N19" s="111">
        <v>2145814</v>
      </c>
      <c r="O19" s="97" t="s">
        <v>452</v>
      </c>
      <c r="R19" t="s">
        <v>25</v>
      </c>
      <c r="T19" t="s">
        <v>25</v>
      </c>
    </row>
    <row r="20" spans="1:20">
      <c r="J20" s="210">
        <v>19</v>
      </c>
      <c r="K20" s="210" t="s">
        <v>4637</v>
      </c>
      <c r="L20" s="167">
        <v>4369730</v>
      </c>
      <c r="M20" s="210">
        <v>1</v>
      </c>
      <c r="N20" s="111">
        <f t="shared" ref="N20:N38" si="0">L20*M20</f>
        <v>4369730</v>
      </c>
      <c r="O20" s="97" t="s">
        <v>744</v>
      </c>
    </row>
    <row r="21" spans="1:20">
      <c r="J21" s="210">
        <v>20</v>
      </c>
      <c r="K21" s="210" t="s">
        <v>4637</v>
      </c>
      <c r="L21" s="167">
        <v>4369730</v>
      </c>
      <c r="M21" s="210">
        <v>1</v>
      </c>
      <c r="N21" s="111">
        <f t="shared" si="0"/>
        <v>4369730</v>
      </c>
      <c r="O21" s="97" t="s">
        <v>452</v>
      </c>
      <c r="R21" t="s">
        <v>25</v>
      </c>
    </row>
    <row r="22" spans="1:20">
      <c r="J22" s="166">
        <v>21</v>
      </c>
      <c r="K22" s="166" t="s">
        <v>4638</v>
      </c>
      <c r="L22" s="111">
        <v>4398820</v>
      </c>
      <c r="M22" s="166">
        <v>2</v>
      </c>
      <c r="N22" s="111">
        <f t="shared" si="0"/>
        <v>8797640</v>
      </c>
      <c r="O22" s="97" t="s">
        <v>744</v>
      </c>
      <c r="R22" t="s">
        <v>25</v>
      </c>
    </row>
    <row r="23" spans="1:20">
      <c r="A23" s="97" t="s">
        <v>180</v>
      </c>
      <c r="B23" s="97" t="s">
        <v>4631</v>
      </c>
      <c r="C23" s="97" t="s">
        <v>4632</v>
      </c>
      <c r="D23" s="97" t="s">
        <v>4633</v>
      </c>
      <c r="E23" s="67" t="s">
        <v>4634</v>
      </c>
      <c r="J23" s="210">
        <v>22</v>
      </c>
      <c r="K23" s="210" t="s">
        <v>4638</v>
      </c>
      <c r="L23" s="111">
        <v>4398820</v>
      </c>
      <c r="M23" s="210">
        <v>2</v>
      </c>
      <c r="N23" s="111">
        <f t="shared" si="0"/>
        <v>8797640</v>
      </c>
      <c r="O23" s="97" t="s">
        <v>452</v>
      </c>
      <c r="Q23" t="s">
        <v>25</v>
      </c>
      <c r="R23" t="s">
        <v>25</v>
      </c>
    </row>
    <row r="24" spans="1:20">
      <c r="A24" s="97" t="s">
        <v>4598</v>
      </c>
      <c r="B24" s="93">
        <v>4080000</v>
      </c>
      <c r="C24" s="93">
        <v>4200000</v>
      </c>
      <c r="D24" s="93"/>
      <c r="E24" s="93"/>
      <c r="J24" s="215">
        <v>23</v>
      </c>
      <c r="K24" s="215" t="s">
        <v>4638</v>
      </c>
      <c r="L24" s="216">
        <v>4388600</v>
      </c>
      <c r="M24" s="215">
        <v>5</v>
      </c>
      <c r="N24" s="216">
        <f t="shared" si="0"/>
        <v>21943000</v>
      </c>
      <c r="O24" s="217" t="s">
        <v>4649</v>
      </c>
    </row>
    <row r="25" spans="1:20">
      <c r="A25" s="97" t="s">
        <v>4607</v>
      </c>
      <c r="B25" s="93">
        <v>4100000</v>
      </c>
      <c r="C25" s="93">
        <v>4230000</v>
      </c>
      <c r="D25" s="93"/>
      <c r="E25" s="93"/>
      <c r="J25" s="210">
        <v>24</v>
      </c>
      <c r="K25" s="210" t="s">
        <v>4639</v>
      </c>
      <c r="L25" s="111">
        <v>4445103</v>
      </c>
      <c r="M25" s="210">
        <v>1.5</v>
      </c>
      <c r="N25" s="111">
        <f t="shared" si="0"/>
        <v>6667654.5</v>
      </c>
      <c r="O25" s="97" t="s">
        <v>744</v>
      </c>
    </row>
    <row r="26" spans="1:20">
      <c r="A26" s="97" t="s">
        <v>4609</v>
      </c>
      <c r="B26" s="93">
        <v>4230000</v>
      </c>
      <c r="C26" s="93">
        <v>4330000</v>
      </c>
      <c r="D26" s="93">
        <v>12200</v>
      </c>
      <c r="E26" s="93">
        <v>12350</v>
      </c>
      <c r="J26" s="210">
        <v>25</v>
      </c>
      <c r="K26" s="210" t="s">
        <v>4639</v>
      </c>
      <c r="L26" s="111">
        <v>4445103</v>
      </c>
      <c r="M26" s="210">
        <v>1.5</v>
      </c>
      <c r="N26" s="111">
        <f t="shared" si="0"/>
        <v>6667654.5</v>
      </c>
      <c r="O26" s="97" t="s">
        <v>452</v>
      </c>
      <c r="R26" t="s">
        <v>25</v>
      </c>
    </row>
    <row r="27" spans="1:20">
      <c r="A27" s="97" t="s">
        <v>4619</v>
      </c>
      <c r="B27" s="93">
        <v>4270000</v>
      </c>
      <c r="C27" s="93">
        <v>4370000</v>
      </c>
      <c r="D27" s="93"/>
      <c r="E27" s="93"/>
      <c r="J27" s="210">
        <v>26</v>
      </c>
      <c r="K27" s="210" t="s">
        <v>4648</v>
      </c>
      <c r="L27" s="111">
        <v>4490623</v>
      </c>
      <c r="M27" s="210">
        <v>2</v>
      </c>
      <c r="N27" s="111">
        <f t="shared" si="0"/>
        <v>8981246</v>
      </c>
      <c r="O27" s="97" t="s">
        <v>744</v>
      </c>
      <c r="R27" t="s">
        <v>25</v>
      </c>
      <c r="S27" t="s">
        <v>25</v>
      </c>
    </row>
    <row r="28" spans="1:20">
      <c r="A28" s="97" t="s">
        <v>4626</v>
      </c>
      <c r="B28" s="93">
        <v>3980000</v>
      </c>
      <c r="C28" s="93">
        <v>4120000</v>
      </c>
      <c r="D28" s="93">
        <v>11450</v>
      </c>
      <c r="E28" s="93">
        <v>11650</v>
      </c>
      <c r="J28" s="210">
        <v>27</v>
      </c>
      <c r="K28" s="210" t="s">
        <v>4648</v>
      </c>
      <c r="L28" s="111">
        <v>4490623</v>
      </c>
      <c r="M28" s="210">
        <v>2</v>
      </c>
      <c r="N28" s="111">
        <f t="shared" si="0"/>
        <v>8981246</v>
      </c>
      <c r="O28" s="97" t="s">
        <v>452</v>
      </c>
    </row>
    <row r="29" spans="1:20">
      <c r="A29" s="97" t="s">
        <v>4628</v>
      </c>
      <c r="B29" s="93">
        <v>4120000</v>
      </c>
      <c r="C29" s="93">
        <v>4230000</v>
      </c>
      <c r="D29" s="93">
        <v>11650</v>
      </c>
      <c r="E29" s="93">
        <v>11750</v>
      </c>
      <c r="J29" s="210">
        <v>28</v>
      </c>
      <c r="K29" s="210" t="s">
        <v>3668</v>
      </c>
      <c r="L29" s="111">
        <v>4590878</v>
      </c>
      <c r="M29" s="210">
        <v>2</v>
      </c>
      <c r="N29" s="111">
        <f t="shared" si="0"/>
        <v>9181756</v>
      </c>
      <c r="O29" s="97" t="s">
        <v>744</v>
      </c>
    </row>
    <row r="30" spans="1:20">
      <c r="A30" s="97" t="s">
        <v>4629</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4635</v>
      </c>
      <c r="B31" s="93">
        <v>4130000</v>
      </c>
      <c r="C31" s="93">
        <v>4260000</v>
      </c>
      <c r="D31" s="93">
        <v>11850</v>
      </c>
      <c r="E31" s="93">
        <v>11950</v>
      </c>
      <c r="J31" s="210">
        <v>30</v>
      </c>
      <c r="K31" s="210" t="s">
        <v>4660</v>
      </c>
      <c r="L31" s="111">
        <v>4724483</v>
      </c>
      <c r="M31" s="210">
        <v>2.5</v>
      </c>
      <c r="N31" s="111">
        <f t="shared" si="0"/>
        <v>11811207.5</v>
      </c>
      <c r="O31" s="97" t="s">
        <v>744</v>
      </c>
    </row>
    <row r="32" spans="1:20">
      <c r="A32" s="97" t="s">
        <v>4637</v>
      </c>
      <c r="B32" s="93">
        <v>4100000</v>
      </c>
      <c r="C32" s="93">
        <v>4220000</v>
      </c>
      <c r="D32" s="93">
        <v>11800</v>
      </c>
      <c r="E32" s="93">
        <v>11980</v>
      </c>
      <c r="J32" s="210">
        <v>31</v>
      </c>
      <c r="K32" s="210" t="s">
        <v>4660</v>
      </c>
      <c r="L32" s="111">
        <v>4724483</v>
      </c>
      <c r="M32" s="210">
        <v>2.5</v>
      </c>
      <c r="N32" s="111">
        <f t="shared" si="0"/>
        <v>11811207.5</v>
      </c>
      <c r="O32" s="97" t="s">
        <v>452</v>
      </c>
    </row>
    <row r="33" spans="1:19">
      <c r="A33" s="97" t="s">
        <v>4638</v>
      </c>
      <c r="B33" s="93">
        <v>4220000</v>
      </c>
      <c r="C33" s="93">
        <v>4320000</v>
      </c>
      <c r="D33" s="93">
        <v>11900</v>
      </c>
      <c r="E33" s="93">
        <v>12050</v>
      </c>
      <c r="J33" s="210">
        <v>32</v>
      </c>
      <c r="K33" s="210" t="s">
        <v>4675</v>
      </c>
      <c r="L33" s="111">
        <v>4852712</v>
      </c>
      <c r="M33" s="210">
        <v>8.5</v>
      </c>
      <c r="N33" s="111">
        <f t="shared" si="0"/>
        <v>41248052</v>
      </c>
      <c r="O33" s="97" t="s">
        <v>744</v>
      </c>
    </row>
    <row r="34" spans="1:19">
      <c r="A34" s="97" t="s">
        <v>4639</v>
      </c>
      <c r="B34" s="93">
        <v>4240000</v>
      </c>
      <c r="C34" s="93">
        <v>4340000</v>
      </c>
      <c r="D34" s="93">
        <v>12100</v>
      </c>
      <c r="E34" s="93">
        <v>12250</v>
      </c>
      <c r="I34" t="s">
        <v>25</v>
      </c>
      <c r="J34" s="210">
        <v>33</v>
      </c>
      <c r="K34" s="210" t="s">
        <v>4675</v>
      </c>
      <c r="L34" s="111">
        <v>4852712</v>
      </c>
      <c r="M34" s="210">
        <v>8.5</v>
      </c>
      <c r="N34" s="111">
        <f t="shared" si="0"/>
        <v>41248052</v>
      </c>
      <c r="O34" s="97" t="s">
        <v>452</v>
      </c>
    </row>
    <row r="35" spans="1:19">
      <c r="A35" s="97" t="s">
        <v>4648</v>
      </c>
      <c r="B35" s="93">
        <v>4230000</v>
      </c>
      <c r="C35" s="93">
        <v>4370000</v>
      </c>
      <c r="D35" s="93">
        <v>12100</v>
      </c>
      <c r="E35" s="93">
        <v>12250</v>
      </c>
      <c r="J35" s="210">
        <v>34</v>
      </c>
      <c r="K35" s="210" t="s">
        <v>4677</v>
      </c>
      <c r="L35" s="111">
        <v>4977171</v>
      </c>
      <c r="M35" s="210">
        <v>7.5</v>
      </c>
      <c r="N35" s="111">
        <f t="shared" si="0"/>
        <v>37328782.5</v>
      </c>
      <c r="O35" s="97" t="s">
        <v>744</v>
      </c>
    </row>
    <row r="36" spans="1:19">
      <c r="A36" s="97" t="s">
        <v>3668</v>
      </c>
      <c r="B36" s="93">
        <v>4300000</v>
      </c>
      <c r="C36" s="93">
        <v>4420000</v>
      </c>
      <c r="D36" s="93">
        <v>12300</v>
      </c>
      <c r="E36" s="93">
        <v>12400</v>
      </c>
      <c r="J36" s="210">
        <v>35</v>
      </c>
      <c r="K36" s="210" t="s">
        <v>4677</v>
      </c>
      <c r="L36" s="111">
        <v>4977171</v>
      </c>
      <c r="M36" s="210">
        <v>7.5</v>
      </c>
      <c r="N36" s="111">
        <f t="shared" si="0"/>
        <v>37328782.5</v>
      </c>
      <c r="O36" s="97" t="s">
        <v>452</v>
      </c>
      <c r="R36" s="94"/>
    </row>
    <row r="37" spans="1:19">
      <c r="A37" s="97" t="s">
        <v>4660</v>
      </c>
      <c r="B37" s="93">
        <v>4370000</v>
      </c>
      <c r="C37" s="93">
        <v>4480000</v>
      </c>
      <c r="D37" s="93">
        <v>12600</v>
      </c>
      <c r="E37" s="93">
        <v>12700</v>
      </c>
      <c r="J37" s="210">
        <v>36</v>
      </c>
      <c r="K37" s="210" t="s">
        <v>4801</v>
      </c>
      <c r="L37" s="111">
        <v>5048479</v>
      </c>
      <c r="M37" s="210">
        <v>4</v>
      </c>
      <c r="N37" s="111">
        <f t="shared" si="0"/>
        <v>20193916</v>
      </c>
      <c r="O37" s="97" t="s">
        <v>744</v>
      </c>
    </row>
    <row r="38" spans="1:19">
      <c r="A38" s="97" t="s">
        <v>4663</v>
      </c>
      <c r="B38" s="93">
        <v>4470000</v>
      </c>
      <c r="C38" s="93">
        <v>4580000</v>
      </c>
      <c r="D38" s="93">
        <v>13050</v>
      </c>
      <c r="E38" s="93">
        <v>13200</v>
      </c>
      <c r="J38" s="210">
        <v>37</v>
      </c>
      <c r="K38" s="210" t="s">
        <v>4801</v>
      </c>
      <c r="L38" s="111">
        <v>5048479</v>
      </c>
      <c r="M38" s="210">
        <v>9</v>
      </c>
      <c r="N38" s="111">
        <f t="shared" si="0"/>
        <v>45436311</v>
      </c>
      <c r="O38" s="97" t="s">
        <v>452</v>
      </c>
    </row>
    <row r="39" spans="1:19">
      <c r="A39" s="97" t="s">
        <v>4669</v>
      </c>
      <c r="B39" s="93">
        <v>4600000</v>
      </c>
      <c r="C39" s="93">
        <v>4720000</v>
      </c>
      <c r="D39" s="93"/>
      <c r="E39" s="93"/>
      <c r="J39" s="210"/>
      <c r="K39" s="210"/>
      <c r="L39" s="111"/>
      <c r="M39" s="210"/>
      <c r="N39" s="111"/>
      <c r="O39" s="97"/>
    </row>
    <row r="40" spans="1:19">
      <c r="A40" s="97" t="s">
        <v>4675</v>
      </c>
      <c r="B40" s="93">
        <v>4530000</v>
      </c>
      <c r="C40" s="93">
        <v>4680000</v>
      </c>
      <c r="D40" s="93">
        <v>13000</v>
      </c>
      <c r="E40" s="93">
        <v>13150</v>
      </c>
      <c r="J40" s="166"/>
      <c r="K40" s="166"/>
      <c r="L40" s="111" t="s">
        <v>25</v>
      </c>
      <c r="M40" s="166"/>
      <c r="N40" s="111"/>
      <c r="O40" s="97"/>
    </row>
    <row r="41" spans="1:19">
      <c r="A41" s="97" t="s">
        <v>4677</v>
      </c>
      <c r="B41" s="93">
        <v>4750000</v>
      </c>
      <c r="C41" s="93">
        <v>4900000</v>
      </c>
      <c r="D41" s="93">
        <v>13750</v>
      </c>
      <c r="E41" s="93">
        <v>13900</v>
      </c>
      <c r="J41" s="166"/>
      <c r="K41" s="166"/>
      <c r="L41" s="166"/>
      <c r="M41" s="166">
        <f>SUM(M2:M40)</f>
        <v>140</v>
      </c>
      <c r="N41" s="111">
        <f>SUM(N2:N40)</f>
        <v>618472600</v>
      </c>
      <c r="O41" s="167">
        <f>N41/(M41-3)</f>
        <v>4514398.5401459858</v>
      </c>
    </row>
    <row r="42" spans="1:19">
      <c r="A42" s="97" t="s">
        <v>4684</v>
      </c>
      <c r="B42" s="93">
        <v>4700000</v>
      </c>
      <c r="C42" s="93">
        <v>4850000</v>
      </c>
      <c r="D42" s="93">
        <v>13650</v>
      </c>
      <c r="E42" s="93">
        <v>13800</v>
      </c>
      <c r="J42" s="166"/>
      <c r="K42" s="166"/>
      <c r="L42" s="166"/>
      <c r="M42" s="166" t="s">
        <v>6</v>
      </c>
      <c r="N42" s="166"/>
      <c r="O42" s="97"/>
      <c r="P42">
        <f>O44/2</f>
        <v>37328780.5</v>
      </c>
      <c r="Q42">
        <f>O44/15</f>
        <v>4977170.7333333334</v>
      </c>
    </row>
    <row r="43" spans="1:19">
      <c r="A43" s="97" t="s">
        <v>4690</v>
      </c>
      <c r="B43" s="93">
        <v>4550000</v>
      </c>
      <c r="C43" s="93">
        <v>4750000</v>
      </c>
      <c r="D43" s="93">
        <v>13400</v>
      </c>
      <c r="E43" s="93">
        <v>13500</v>
      </c>
      <c r="M43" s="111">
        <f>N41/(M41-3)</f>
        <v>4514398.5401459858</v>
      </c>
      <c r="S43" t="s">
        <v>25</v>
      </c>
    </row>
    <row r="44" spans="1:19">
      <c r="A44" s="97" t="s">
        <v>4698</v>
      </c>
      <c r="B44" s="93">
        <v>4580000</v>
      </c>
      <c r="C44" s="93">
        <v>4750000</v>
      </c>
      <c r="D44" s="93">
        <v>13350</v>
      </c>
      <c r="E44" s="93">
        <v>13500</v>
      </c>
      <c r="I44" s="41"/>
      <c r="M44" s="41" t="s">
        <v>4478</v>
      </c>
      <c r="N44" t="s">
        <v>25</v>
      </c>
      <c r="O44" s="219">
        <v>74657561</v>
      </c>
      <c r="R44" t="s">
        <v>25</v>
      </c>
    </row>
    <row r="45" spans="1:19">
      <c r="A45" s="97" t="s">
        <v>4706</v>
      </c>
      <c r="B45" s="93">
        <v>4500000</v>
      </c>
      <c r="C45" s="93">
        <v>4650000</v>
      </c>
      <c r="D45" s="93">
        <v>13250</v>
      </c>
      <c r="E45" s="93">
        <v>13450</v>
      </c>
    </row>
    <row r="46" spans="1:19">
      <c r="A46" s="97" t="s">
        <v>4711</v>
      </c>
      <c r="B46" s="93">
        <v>4620000</v>
      </c>
      <c r="C46" s="93">
        <v>4770000</v>
      </c>
      <c r="D46" s="93">
        <v>13600</v>
      </c>
      <c r="E46" s="93">
        <v>13700</v>
      </c>
    </row>
    <row r="47" spans="1:19">
      <c r="A47" s="97" t="s">
        <v>4715</v>
      </c>
      <c r="B47" s="93">
        <v>4400000</v>
      </c>
      <c r="C47" s="93">
        <v>4600000</v>
      </c>
      <c r="D47" s="93">
        <v>13200</v>
      </c>
      <c r="E47" s="93">
        <v>13400</v>
      </c>
      <c r="L47">
        <f>140-M41</f>
        <v>0</v>
      </c>
      <c r="M47">
        <f>70-M2-M4-M5-M7-M9-M10-M12-M14-M16-M18-M20-M22-M25-M27-M29-M31-M33-M35-M37</f>
        <v>0</v>
      </c>
      <c r="N47" t="s">
        <v>481</v>
      </c>
    </row>
    <row r="48" spans="1:19">
      <c r="A48" s="97" t="s">
        <v>4716</v>
      </c>
      <c r="B48" s="93">
        <v>4250000</v>
      </c>
      <c r="C48" s="93">
        <v>4450000</v>
      </c>
      <c r="D48" s="93">
        <v>12750</v>
      </c>
      <c r="E48" s="93">
        <v>12900</v>
      </c>
      <c r="M48">
        <f>65-M3-M6-M8-M11-M13-M15-M17-M19-M21-M23-M26-M28-M30-M32-M34-M36-M38</f>
        <v>0</v>
      </c>
      <c r="N48" t="s">
        <v>5</v>
      </c>
    </row>
    <row r="49" spans="1:17">
      <c r="A49" s="97" t="s">
        <v>4724</v>
      </c>
      <c r="B49" s="93">
        <v>4380000</v>
      </c>
      <c r="C49" s="93">
        <v>4520000</v>
      </c>
      <c r="D49" s="93">
        <v>12750</v>
      </c>
      <c r="E49" s="93">
        <v>12900</v>
      </c>
      <c r="K49">
        <v>16</v>
      </c>
      <c r="L49" s="219">
        <v>807756734</v>
      </c>
      <c r="M49">
        <f>L49/16</f>
        <v>50484795.875</v>
      </c>
      <c r="N49">
        <f>M49*4</f>
        <v>201939183.5</v>
      </c>
    </row>
    <row r="50" spans="1:17">
      <c r="A50" s="97" t="s">
        <v>4727</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4747</v>
      </c>
      <c r="B52" s="93">
        <v>4480000</v>
      </c>
      <c r="C52" s="93">
        <v>4600000</v>
      </c>
      <c r="D52" s="93">
        <v>13050</v>
      </c>
      <c r="E52" s="93">
        <v>13200</v>
      </c>
      <c r="K52" s="166" t="s">
        <v>4487</v>
      </c>
      <c r="L52" s="166" t="s">
        <v>1070</v>
      </c>
      <c r="M52" s="166" t="s">
        <v>4221</v>
      </c>
      <c r="N52" s="166" t="s">
        <v>4503</v>
      </c>
      <c r="O52" s="166"/>
    </row>
    <row r="53" spans="1:17">
      <c r="A53" s="97" t="s">
        <v>4749</v>
      </c>
      <c r="B53" s="93">
        <v>4400000</v>
      </c>
      <c r="C53" s="93">
        <v>4550000</v>
      </c>
      <c r="D53" s="93">
        <v>12850</v>
      </c>
      <c r="E53" s="93">
        <v>13000</v>
      </c>
      <c r="K53" s="166" t="s">
        <v>4477</v>
      </c>
      <c r="L53" s="166">
        <v>3390000</v>
      </c>
      <c r="M53" s="166">
        <v>161.4</v>
      </c>
      <c r="N53" s="166">
        <f>L53/M53</f>
        <v>21003.717472118959</v>
      </c>
      <c r="O53" s="166"/>
    </row>
    <row r="54" spans="1:17">
      <c r="A54" s="97" t="s">
        <v>4751</v>
      </c>
      <c r="B54" s="93">
        <v>4400000</v>
      </c>
      <c r="C54" s="93">
        <v>4520000</v>
      </c>
      <c r="D54" s="93">
        <v>12800</v>
      </c>
      <c r="E54" s="93">
        <v>12950</v>
      </c>
      <c r="K54" s="166"/>
      <c r="L54" s="166"/>
      <c r="M54" s="166"/>
      <c r="N54" s="166"/>
      <c r="O54" s="166"/>
    </row>
    <row r="55" spans="1:17">
      <c r="A55" s="97" t="s">
        <v>4754</v>
      </c>
      <c r="B55" s="93">
        <v>4460000</v>
      </c>
      <c r="C55" s="93">
        <v>4580000</v>
      </c>
      <c r="D55" s="93">
        <v>12850</v>
      </c>
      <c r="E55" s="93">
        <v>13000</v>
      </c>
      <c r="K55" s="166"/>
      <c r="L55" s="166"/>
      <c r="M55" s="166"/>
      <c r="N55" s="166"/>
      <c r="O55" s="166"/>
    </row>
    <row r="56" spans="1:17">
      <c r="A56" s="97" t="s">
        <v>4760</v>
      </c>
      <c r="B56" s="93">
        <v>4500000</v>
      </c>
      <c r="C56" s="93">
        <v>4620000</v>
      </c>
      <c r="D56" s="93">
        <v>13000</v>
      </c>
      <c r="E56" s="93">
        <v>13200</v>
      </c>
      <c r="K56" s="166"/>
      <c r="L56" s="166"/>
      <c r="M56" s="166"/>
      <c r="N56" s="166"/>
      <c r="O56" s="166"/>
    </row>
    <row r="57" spans="1:17">
      <c r="A57" s="97" t="s">
        <v>4765</v>
      </c>
      <c r="B57" s="93">
        <v>4450000</v>
      </c>
      <c r="C57" s="93">
        <v>4600000</v>
      </c>
      <c r="D57" s="93">
        <v>12850</v>
      </c>
      <c r="E57" s="93">
        <v>13050</v>
      </c>
      <c r="K57" s="166"/>
      <c r="L57" s="166"/>
      <c r="M57" s="166"/>
      <c r="N57" s="166"/>
      <c r="O57" s="166"/>
    </row>
    <row r="58" spans="1:17">
      <c r="A58" s="97" t="s">
        <v>4774</v>
      </c>
      <c r="B58" s="93">
        <v>4500000</v>
      </c>
      <c r="C58" s="93">
        <v>4650000</v>
      </c>
      <c r="D58" s="93">
        <v>12900</v>
      </c>
      <c r="E58" s="93">
        <v>13100</v>
      </c>
      <c r="K58" s="166"/>
      <c r="L58" s="166"/>
      <c r="M58" s="166"/>
      <c r="N58" s="166"/>
      <c r="O58" s="166"/>
    </row>
    <row r="59" spans="1:17">
      <c r="A59" s="97" t="s">
        <v>4801</v>
      </c>
      <c r="B59" s="93">
        <v>4700000</v>
      </c>
      <c r="C59" s="93">
        <v>4800000</v>
      </c>
      <c r="D59" s="93">
        <v>13300</v>
      </c>
      <c r="E59" s="93">
        <v>13450</v>
      </c>
      <c r="K59" s="166"/>
      <c r="L59" s="166"/>
      <c r="M59" s="166"/>
      <c r="N59" s="166"/>
      <c r="O59" s="166"/>
    </row>
    <row r="60" spans="1:17">
      <c r="A60" s="97" t="s">
        <v>4802</v>
      </c>
      <c r="B60" s="93">
        <v>4750000</v>
      </c>
      <c r="C60" s="93">
        <v>4850000</v>
      </c>
      <c r="D60" s="93">
        <v>13500</v>
      </c>
      <c r="E60" s="93">
        <v>13650</v>
      </c>
      <c r="K60" s="166"/>
      <c r="L60" s="166"/>
      <c r="M60" s="166"/>
      <c r="N60" s="166"/>
      <c r="O60" s="166"/>
    </row>
    <row r="61" spans="1:17">
      <c r="A61" s="97" t="s">
        <v>4809</v>
      </c>
      <c r="B61" s="93">
        <v>4850000</v>
      </c>
      <c r="C61" s="93">
        <v>4950000</v>
      </c>
      <c r="D61" s="93">
        <v>13750</v>
      </c>
      <c r="E61" s="93">
        <v>13900</v>
      </c>
    </row>
    <row r="62" spans="1:17">
      <c r="A62" s="97" t="s">
        <v>4825</v>
      </c>
      <c r="B62" s="93">
        <v>4680000</v>
      </c>
      <c r="C62" s="93">
        <v>4780000</v>
      </c>
      <c r="D62" s="93">
        <v>13500</v>
      </c>
      <c r="E62" s="93">
        <v>13650</v>
      </c>
    </row>
    <row r="63" spans="1:17">
      <c r="A63" s="97" t="s">
        <v>4913</v>
      </c>
      <c r="B63" s="93">
        <v>4700000</v>
      </c>
      <c r="C63" s="93">
        <v>4830000</v>
      </c>
      <c r="D63" s="93">
        <v>13850</v>
      </c>
      <c r="E63" s="93">
        <v>14050</v>
      </c>
      <c r="I63" s="210" t="s">
        <v>8</v>
      </c>
      <c r="J63" s="210" t="s">
        <v>4687</v>
      </c>
      <c r="K63" s="210" t="s">
        <v>180</v>
      </c>
      <c r="L63" s="222" t="s">
        <v>4685</v>
      </c>
      <c r="M63" s="222" t="s">
        <v>4686</v>
      </c>
      <c r="N63" s="210" t="s">
        <v>6</v>
      </c>
      <c r="O63" s="210" t="s">
        <v>4688</v>
      </c>
      <c r="P63" s="210" t="s">
        <v>4700</v>
      </c>
    </row>
    <row r="64" spans="1:17">
      <c r="A64" s="97" t="s">
        <v>4954</v>
      </c>
      <c r="B64" s="93">
        <v>4600000</v>
      </c>
      <c r="C64" s="93">
        <v>4700000</v>
      </c>
      <c r="D64" s="93">
        <v>13300</v>
      </c>
      <c r="E64" s="93">
        <v>13500</v>
      </c>
      <c r="G64" t="s">
        <v>25</v>
      </c>
      <c r="I64" s="210"/>
      <c r="J64" s="210"/>
      <c r="K64" s="210" t="s">
        <v>4638</v>
      </c>
      <c r="L64" s="82">
        <v>535989412</v>
      </c>
      <c r="M64" s="82"/>
      <c r="N64" s="210"/>
      <c r="O64" s="210"/>
      <c r="P64" s="210"/>
      <c r="Q64" s="82">
        <v>0</v>
      </c>
    </row>
    <row r="65" spans="1:17">
      <c r="A65" s="97" t="s">
        <v>4989</v>
      </c>
      <c r="B65" s="93">
        <v>4520000</v>
      </c>
      <c r="C65" s="93">
        <v>4620000</v>
      </c>
      <c r="D65" s="93">
        <v>12950</v>
      </c>
      <c r="E65" s="93">
        <v>13150</v>
      </c>
      <c r="I65" s="210"/>
      <c r="J65" s="111">
        <f>L65-L64</f>
        <v>12939932</v>
      </c>
      <c r="K65" s="210" t="s">
        <v>4663</v>
      </c>
      <c r="L65" s="82">
        <v>548929344</v>
      </c>
      <c r="M65" s="82"/>
      <c r="N65" s="210"/>
      <c r="O65" s="210"/>
      <c r="P65" s="210"/>
      <c r="Q65" s="82">
        <v>0</v>
      </c>
    </row>
    <row r="66" spans="1:17">
      <c r="A66" s="97" t="s">
        <v>5023</v>
      </c>
      <c r="B66" s="93">
        <v>3900000</v>
      </c>
      <c r="C66" s="93">
        <v>4050000</v>
      </c>
      <c r="D66" s="93">
        <v>10900</v>
      </c>
      <c r="E66" s="93">
        <v>11150</v>
      </c>
      <c r="F66" t="s">
        <v>25</v>
      </c>
      <c r="I66" s="210"/>
      <c r="J66" s="111">
        <f t="shared" ref="J66:J88" si="1">L66-L65</f>
        <v>11531981</v>
      </c>
      <c r="K66" s="210" t="s">
        <v>4669</v>
      </c>
      <c r="L66" s="82">
        <v>560461325</v>
      </c>
      <c r="M66" s="82"/>
      <c r="N66" s="210"/>
      <c r="O66" s="210"/>
      <c r="P66" s="210"/>
      <c r="Q66" s="82">
        <v>0</v>
      </c>
    </row>
    <row r="67" spans="1:17">
      <c r="A67" s="97" t="s">
        <v>5064</v>
      </c>
      <c r="B67" s="93">
        <v>3950000</v>
      </c>
      <c r="C67" s="93">
        <v>4070000</v>
      </c>
      <c r="D67" s="93">
        <v>11000</v>
      </c>
      <c r="E67" s="93">
        <v>11200</v>
      </c>
      <c r="I67" s="210"/>
      <c r="J67" s="111">
        <f t="shared" si="1"/>
        <v>17387769</v>
      </c>
      <c r="K67" s="210" t="s">
        <v>4675</v>
      </c>
      <c r="L67" s="82">
        <v>577849094</v>
      </c>
      <c r="M67" s="82"/>
      <c r="N67" s="210"/>
      <c r="O67" s="210"/>
      <c r="P67" s="210"/>
      <c r="Q67" s="82">
        <v>0</v>
      </c>
    </row>
    <row r="68" spans="1:17">
      <c r="A68" s="97" t="s">
        <v>5067</v>
      </c>
      <c r="B68" s="93">
        <v>4050000</v>
      </c>
      <c r="C68" s="93">
        <v>4150000</v>
      </c>
      <c r="D68" s="93">
        <v>11150</v>
      </c>
      <c r="E68" s="93">
        <v>11350</v>
      </c>
      <c r="I68" s="210"/>
      <c r="J68" s="111">
        <f t="shared" si="1"/>
        <v>11024486</v>
      </c>
      <c r="K68" s="210" t="s">
        <v>4677</v>
      </c>
      <c r="L68" s="82">
        <v>588873580</v>
      </c>
      <c r="M68" s="82">
        <v>250255923</v>
      </c>
      <c r="N68" s="111">
        <f>L68+M68</f>
        <v>839129503</v>
      </c>
      <c r="O68" s="111">
        <f>M68-M67</f>
        <v>250255923</v>
      </c>
      <c r="P68" s="111">
        <f>N68-N67</f>
        <v>839129503</v>
      </c>
      <c r="Q68" s="82">
        <v>0</v>
      </c>
    </row>
    <row r="69" spans="1:17">
      <c r="A69" s="97" t="s">
        <v>5088</v>
      </c>
      <c r="B69" s="93">
        <v>4060000</v>
      </c>
      <c r="C69" s="93">
        <v>4160000</v>
      </c>
      <c r="D69" s="93">
        <v>11500</v>
      </c>
      <c r="E69" s="93">
        <v>11700</v>
      </c>
      <c r="I69" s="210"/>
      <c r="J69" s="111">
        <f t="shared" si="1"/>
        <v>-8942851</v>
      </c>
      <c r="K69" s="210" t="s">
        <v>4684</v>
      </c>
      <c r="L69" s="225">
        <v>579930729</v>
      </c>
      <c r="M69" s="82">
        <v>247714729</v>
      </c>
      <c r="N69" s="111">
        <f t="shared" ref="N69:N91" si="2">L69+M69</f>
        <v>827645458</v>
      </c>
      <c r="O69" s="111">
        <f t="shared" ref="O69:O88" si="3">M69-M68</f>
        <v>-2541194</v>
      </c>
      <c r="P69" s="111">
        <f t="shared" ref="P69:P88" si="4">N69-N68</f>
        <v>-11484045</v>
      </c>
      <c r="Q69" s="82">
        <v>0</v>
      </c>
    </row>
    <row r="70" spans="1:17">
      <c r="A70" s="97" t="s">
        <v>5090</v>
      </c>
      <c r="B70" s="93">
        <v>4020000</v>
      </c>
      <c r="C70" s="93">
        <v>4120000</v>
      </c>
      <c r="D70" s="93">
        <v>11400</v>
      </c>
      <c r="E70" s="93">
        <v>11600</v>
      </c>
      <c r="I70" s="5" t="s">
        <v>4697</v>
      </c>
      <c r="J70" s="35">
        <f t="shared" si="1"/>
        <v>45893629</v>
      </c>
      <c r="K70" s="5" t="s">
        <v>4690</v>
      </c>
      <c r="L70" s="230">
        <v>625824358</v>
      </c>
      <c r="M70" s="230">
        <v>243028777</v>
      </c>
      <c r="N70" s="35">
        <f t="shared" si="2"/>
        <v>868853135</v>
      </c>
      <c r="O70" s="35">
        <f t="shared" si="3"/>
        <v>-4685952</v>
      </c>
      <c r="P70" s="35">
        <f>N70-N69-50000000</f>
        <v>-8792323</v>
      </c>
      <c r="Q70" s="82">
        <v>50000000</v>
      </c>
    </row>
    <row r="71" spans="1:17">
      <c r="A71" s="97" t="s">
        <v>5096</v>
      </c>
      <c r="B71" s="93">
        <v>3930000</v>
      </c>
      <c r="C71" s="93">
        <v>4030000</v>
      </c>
      <c r="D71" s="93">
        <v>11100</v>
      </c>
      <c r="E71" s="93">
        <v>11300</v>
      </c>
      <c r="I71" s="210"/>
      <c r="J71" s="111">
        <f t="shared" si="1"/>
        <v>3462014</v>
      </c>
      <c r="K71" s="210" t="s">
        <v>4698</v>
      </c>
      <c r="L71" s="82">
        <v>629286372</v>
      </c>
      <c r="M71" s="82">
        <v>246690884</v>
      </c>
      <c r="N71" s="111">
        <f t="shared" si="2"/>
        <v>875977256</v>
      </c>
      <c r="O71" s="111">
        <f t="shared" si="3"/>
        <v>3662107</v>
      </c>
      <c r="P71" s="111">
        <f t="shared" si="4"/>
        <v>7124121</v>
      </c>
      <c r="Q71" s="82">
        <v>0</v>
      </c>
    </row>
    <row r="72" spans="1:17">
      <c r="A72" s="97" t="s">
        <v>5099</v>
      </c>
      <c r="B72" s="93">
        <v>3950000</v>
      </c>
      <c r="C72" s="93">
        <v>4050000</v>
      </c>
      <c r="D72" s="93">
        <v>11200</v>
      </c>
      <c r="E72" s="93">
        <v>11300</v>
      </c>
      <c r="I72" s="210"/>
      <c r="J72" s="111">
        <f t="shared" si="1"/>
        <v>-2687296</v>
      </c>
      <c r="K72" s="210" t="s">
        <v>4711</v>
      </c>
      <c r="L72" s="82">
        <v>626599076</v>
      </c>
      <c r="M72" s="82">
        <v>244530128</v>
      </c>
      <c r="N72" s="111">
        <f t="shared" si="2"/>
        <v>871129204</v>
      </c>
      <c r="O72" s="111">
        <f t="shared" si="3"/>
        <v>-2160756</v>
      </c>
      <c r="P72" s="111">
        <f t="shared" si="4"/>
        <v>-4848052</v>
      </c>
      <c r="Q72" s="82">
        <v>0</v>
      </c>
    </row>
    <row r="73" spans="1:17">
      <c r="A73" s="97" t="s">
        <v>5100</v>
      </c>
      <c r="B73" s="93">
        <v>3970000</v>
      </c>
      <c r="C73" s="93">
        <v>4070000</v>
      </c>
      <c r="D73" s="93">
        <v>11250</v>
      </c>
      <c r="E73" s="93">
        <v>11400</v>
      </c>
      <c r="I73" s="210"/>
      <c r="J73" s="111">
        <f t="shared" si="1"/>
        <v>-6009466</v>
      </c>
      <c r="K73" s="210" t="s">
        <v>4715</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4716</v>
      </c>
      <c r="L74" s="82">
        <v>619316539</v>
      </c>
      <c r="M74" s="82">
        <v>242985726</v>
      </c>
      <c r="N74" s="111">
        <f t="shared" si="2"/>
        <v>862302265</v>
      </c>
      <c r="O74" s="111">
        <f t="shared" si="3"/>
        <v>18042</v>
      </c>
      <c r="P74" s="111">
        <f t="shared" si="4"/>
        <v>-1255029</v>
      </c>
      <c r="Q74" s="82">
        <v>0</v>
      </c>
    </row>
    <row r="75" spans="1:17">
      <c r="A75" s="97" t="s">
        <v>5102</v>
      </c>
      <c r="B75" s="93">
        <v>4020000</v>
      </c>
      <c r="C75" s="93">
        <v>4120000</v>
      </c>
      <c r="D75" s="93">
        <v>11350</v>
      </c>
      <c r="E75" s="93">
        <v>11500</v>
      </c>
      <c r="I75" s="210"/>
      <c r="J75" s="111">
        <f t="shared" si="1"/>
        <v>112274</v>
      </c>
      <c r="K75" s="210" t="s">
        <v>4724</v>
      </c>
      <c r="L75" s="82">
        <v>619428813</v>
      </c>
      <c r="M75" s="82">
        <v>242060147</v>
      </c>
      <c r="N75" s="111">
        <f t="shared" si="2"/>
        <v>861488960</v>
      </c>
      <c r="O75" s="111">
        <f t="shared" si="3"/>
        <v>-925579</v>
      </c>
      <c r="P75" s="111">
        <f t="shared" si="4"/>
        <v>-813305</v>
      </c>
      <c r="Q75" s="82">
        <v>0</v>
      </c>
    </row>
    <row r="76" spans="1:17">
      <c r="A76" s="97" t="s">
        <v>5105</v>
      </c>
      <c r="B76" s="93">
        <v>4000000</v>
      </c>
      <c r="C76" s="93">
        <v>4100000</v>
      </c>
      <c r="D76" s="93">
        <v>11250</v>
      </c>
      <c r="E76" s="93">
        <v>11400</v>
      </c>
      <c r="G76" t="s">
        <v>25</v>
      </c>
      <c r="I76" s="210"/>
      <c r="J76" s="111">
        <f t="shared" si="1"/>
        <v>6567221</v>
      </c>
      <c r="K76" s="210" t="s">
        <v>4727</v>
      </c>
      <c r="L76" s="82">
        <v>625996034</v>
      </c>
      <c r="M76" s="82">
        <v>242597875</v>
      </c>
      <c r="N76" s="111">
        <f t="shared" si="2"/>
        <v>868593909</v>
      </c>
      <c r="O76" s="111">
        <f t="shared" si="3"/>
        <v>537728</v>
      </c>
      <c r="P76" s="111">
        <f t="shared" si="4"/>
        <v>7104949</v>
      </c>
      <c r="Q76" s="82">
        <v>0</v>
      </c>
    </row>
    <row r="77" spans="1:17">
      <c r="A77" s="97" t="s">
        <v>5149</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4747</v>
      </c>
      <c r="L78" s="82">
        <v>636519641</v>
      </c>
      <c r="M78" s="82">
        <v>248242879</v>
      </c>
      <c r="N78" s="111">
        <f t="shared" si="2"/>
        <v>884762520</v>
      </c>
      <c r="O78" s="111">
        <f t="shared" si="3"/>
        <v>4357917</v>
      </c>
      <c r="P78" s="111">
        <f t="shared" si="4"/>
        <v>10404473</v>
      </c>
      <c r="Q78" s="82">
        <v>0</v>
      </c>
    </row>
    <row r="79" spans="1:17">
      <c r="A79" s="97" t="s">
        <v>5157</v>
      </c>
      <c r="B79" s="93">
        <v>3940000</v>
      </c>
      <c r="C79" s="93">
        <v>4020000</v>
      </c>
      <c r="D79" s="93">
        <v>11250</v>
      </c>
      <c r="E79" s="93">
        <v>11450</v>
      </c>
      <c r="I79" s="210"/>
      <c r="J79" s="111">
        <f t="shared" si="1"/>
        <v>6885870</v>
      </c>
      <c r="K79" s="210" t="s">
        <v>4749</v>
      </c>
      <c r="L79" s="82">
        <v>643405511</v>
      </c>
      <c r="M79" s="82">
        <v>252682386</v>
      </c>
      <c r="N79" s="111">
        <f t="shared" si="2"/>
        <v>896087897</v>
      </c>
      <c r="O79" s="111">
        <f t="shared" si="3"/>
        <v>4439507</v>
      </c>
      <c r="P79" s="111">
        <f t="shared" si="4"/>
        <v>11325377</v>
      </c>
      <c r="Q79" s="82">
        <v>0</v>
      </c>
    </row>
    <row r="80" spans="1:17">
      <c r="A80" s="97" t="s">
        <v>5160</v>
      </c>
      <c r="B80" s="93">
        <v>3940000</v>
      </c>
      <c r="C80" s="93">
        <v>4020000</v>
      </c>
      <c r="D80" s="93">
        <v>11250</v>
      </c>
      <c r="E80" s="93">
        <v>11450</v>
      </c>
      <c r="G80" t="s">
        <v>25</v>
      </c>
      <c r="I80" s="5" t="s">
        <v>4764</v>
      </c>
      <c r="J80" s="35">
        <f t="shared" si="1"/>
        <v>-1984018</v>
      </c>
      <c r="K80" s="5" t="s">
        <v>4751</v>
      </c>
      <c r="L80" s="230">
        <v>641421493</v>
      </c>
      <c r="M80" s="230">
        <v>250864833</v>
      </c>
      <c r="N80" s="35">
        <f t="shared" si="2"/>
        <v>892286326</v>
      </c>
      <c r="O80" s="35">
        <f t="shared" si="3"/>
        <v>-1817553</v>
      </c>
      <c r="P80" s="35">
        <f>N80-N79-2000000</f>
        <v>-5801571</v>
      </c>
      <c r="Q80" s="82">
        <v>2000000</v>
      </c>
    </row>
    <row r="81" spans="1:21">
      <c r="A81" s="97" t="s">
        <v>5161</v>
      </c>
      <c r="B81" s="93">
        <v>3940000</v>
      </c>
      <c r="C81" s="93">
        <v>4020000</v>
      </c>
      <c r="D81" s="93">
        <v>11300</v>
      </c>
      <c r="E81" s="93">
        <v>11450</v>
      </c>
      <c r="I81" s="210"/>
      <c r="J81" s="111">
        <f t="shared" si="1"/>
        <v>6117877</v>
      </c>
      <c r="K81" s="210" t="s">
        <v>4754</v>
      </c>
      <c r="L81" s="82">
        <v>647539370</v>
      </c>
      <c r="M81" s="82">
        <v>254691103</v>
      </c>
      <c r="N81" s="216">
        <f t="shared" si="2"/>
        <v>902230473</v>
      </c>
      <c r="O81" s="111">
        <f t="shared" si="3"/>
        <v>3826270</v>
      </c>
      <c r="P81" s="111">
        <f t="shared" si="4"/>
        <v>9944147</v>
      </c>
      <c r="Q81" s="82">
        <v>0</v>
      </c>
    </row>
    <row r="82" spans="1:21">
      <c r="A82" s="97" t="s">
        <v>5164</v>
      </c>
      <c r="B82" s="93">
        <v>3970000</v>
      </c>
      <c r="C82" s="93">
        <v>4030000</v>
      </c>
      <c r="D82" s="93">
        <v>11300</v>
      </c>
      <c r="E82" s="93">
        <v>11500</v>
      </c>
      <c r="I82" s="232" t="s">
        <v>4763</v>
      </c>
      <c r="J82" s="84">
        <f t="shared" si="1"/>
        <v>8860702</v>
      </c>
      <c r="K82" s="189" t="s">
        <v>4760</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4772</v>
      </c>
      <c r="J83" s="84">
        <f>L83-L82+31412200</f>
        <v>20439704</v>
      </c>
      <c r="K83" s="189" t="s">
        <v>4765</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4773</v>
      </c>
      <c r="J84" s="186">
        <f t="shared" si="1"/>
        <v>21224293</v>
      </c>
      <c r="K84" s="187" t="s">
        <v>4774</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4780</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4791</v>
      </c>
      <c r="J87" s="194">
        <f>L87-L86-20000</f>
        <v>7878257</v>
      </c>
      <c r="K87" s="188" t="s">
        <v>4781</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4793</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4794</v>
      </c>
      <c r="L89" s="82">
        <v>680635139</v>
      </c>
      <c r="M89" s="82">
        <v>313005875</v>
      </c>
      <c r="N89" s="111">
        <f t="shared" si="2"/>
        <v>993641014</v>
      </c>
      <c r="O89" s="111">
        <f>M89-M88</f>
        <v>1182704</v>
      </c>
      <c r="P89" s="111">
        <f>N89-N88</f>
        <v>-10992387</v>
      </c>
      <c r="Q89" s="82">
        <v>0</v>
      </c>
    </row>
    <row r="90" spans="1:21">
      <c r="A90" s="97"/>
      <c r="B90" s="93"/>
      <c r="C90" s="93"/>
      <c r="D90" s="93"/>
      <c r="E90" s="93"/>
      <c r="I90" s="188" t="s">
        <v>4818</v>
      </c>
      <c r="J90" s="194">
        <f>L90-L89-1000000</f>
        <v>3840350</v>
      </c>
      <c r="K90" s="188" t="s">
        <v>4801</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4802</v>
      </c>
      <c r="L91" s="82">
        <v>673347624</v>
      </c>
      <c r="M91" s="82">
        <v>308820785</v>
      </c>
      <c r="N91" s="111">
        <f t="shared" si="2"/>
        <v>982168409</v>
      </c>
      <c r="O91" s="111">
        <f>M91-M90</f>
        <v>-3210175</v>
      </c>
      <c r="P91" s="111">
        <f>N91-N90</f>
        <v>-15338040</v>
      </c>
      <c r="Q91" s="82">
        <v>0</v>
      </c>
    </row>
    <row r="92" spans="1:21">
      <c r="I92" s="210"/>
      <c r="J92" s="111">
        <f t="shared" si="5"/>
        <v>11765514</v>
      </c>
      <c r="K92" s="210" t="s">
        <v>4809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4810</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4811</v>
      </c>
      <c r="L94" s="82">
        <v>698450869</v>
      </c>
      <c r="M94" s="82">
        <v>316326929</v>
      </c>
      <c r="N94" s="216">
        <f t="shared" si="6"/>
        <v>1014777798</v>
      </c>
      <c r="O94" s="111">
        <f t="shared" si="7"/>
        <v>3826929</v>
      </c>
      <c r="P94" s="111">
        <f t="shared" si="8"/>
        <v>14277798</v>
      </c>
      <c r="Q94" s="82">
        <v>0</v>
      </c>
    </row>
    <row r="95" spans="1:21">
      <c r="I95" s="188" t="s">
        <v>4817</v>
      </c>
      <c r="J95" s="194">
        <f>L95-L94-2520000</f>
        <v>-274657</v>
      </c>
      <c r="K95" s="188" t="s">
        <v>4814</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4819</v>
      </c>
      <c r="L96" s="82">
        <v>704655817</v>
      </c>
      <c r="M96" s="82">
        <v>315439070</v>
      </c>
      <c r="N96" s="216">
        <f t="shared" si="6"/>
        <v>1020094887</v>
      </c>
      <c r="O96" s="111">
        <f t="shared" si="7"/>
        <v>1161552</v>
      </c>
      <c r="P96" s="111">
        <f t="shared" si="8"/>
        <v>5121157</v>
      </c>
      <c r="Q96" s="82">
        <v>0</v>
      </c>
    </row>
    <row r="97" spans="3:20">
      <c r="I97" s="210"/>
      <c r="J97" s="111">
        <f t="shared" si="5"/>
        <v>4588822</v>
      </c>
      <c r="K97" s="210" t="s">
        <v>4820</v>
      </c>
      <c r="L97" s="82">
        <v>709244639</v>
      </c>
      <c r="M97" s="82">
        <v>318439707</v>
      </c>
      <c r="N97" s="216">
        <f t="shared" si="6"/>
        <v>1027684346</v>
      </c>
      <c r="O97" s="111">
        <f t="shared" si="7"/>
        <v>3000637</v>
      </c>
      <c r="P97" s="111">
        <f t="shared" si="8"/>
        <v>7589459</v>
      </c>
      <c r="Q97" s="82">
        <v>0</v>
      </c>
    </row>
    <row r="98" spans="3:20">
      <c r="I98" s="210"/>
      <c r="J98" s="111">
        <f t="shared" si="5"/>
        <v>-11230604</v>
      </c>
      <c r="K98" s="210" t="s">
        <v>4822</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4823</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4825</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4826</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4829</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4828</v>
      </c>
      <c r="L103" s="82">
        <v>716288384</v>
      </c>
      <c r="M103" s="82">
        <v>320388494</v>
      </c>
      <c r="N103" s="111">
        <f t="shared" si="9"/>
        <v>1036676878</v>
      </c>
      <c r="O103" s="111">
        <f t="shared" si="10"/>
        <v>1388494</v>
      </c>
      <c r="P103" s="111">
        <f t="shared" si="11"/>
        <v>1676878</v>
      </c>
      <c r="Q103" s="82">
        <v>0</v>
      </c>
    </row>
    <row r="104" spans="3:20">
      <c r="I104" s="188" t="s">
        <v>4870</v>
      </c>
      <c r="J104" s="194">
        <f>L104-L103-1400000</f>
        <v>-1688384</v>
      </c>
      <c r="K104" s="188" t="s">
        <v>4868</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4869</v>
      </c>
      <c r="L105" s="82">
        <v>724529471</v>
      </c>
      <c r="M105" s="82">
        <v>326836192</v>
      </c>
      <c r="N105" s="216">
        <f t="shared" si="9"/>
        <v>1051365663</v>
      </c>
      <c r="O105" s="111">
        <f t="shared" si="10"/>
        <v>4836192</v>
      </c>
      <c r="P105" s="111">
        <f t="shared" si="11"/>
        <v>13365663</v>
      </c>
      <c r="Q105" s="82">
        <v>0</v>
      </c>
    </row>
    <row r="106" spans="3:20">
      <c r="I106" s="187" t="s">
        <v>4872</v>
      </c>
      <c r="J106" s="186">
        <f>L106-L105-1550000</f>
        <v>16319322</v>
      </c>
      <c r="K106" s="187" t="s">
        <v>4871</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4873</v>
      </c>
      <c r="L107" s="82">
        <v>749984625</v>
      </c>
      <c r="M107" s="82">
        <v>336802679</v>
      </c>
      <c r="N107" s="216">
        <f t="shared" si="9"/>
        <v>1086787304</v>
      </c>
      <c r="O107" s="111">
        <f t="shared" si="10"/>
        <v>3414475</v>
      </c>
      <c r="P107" s="111">
        <f t="shared" si="11"/>
        <v>11000307</v>
      </c>
      <c r="Q107" s="82">
        <v>0</v>
      </c>
    </row>
    <row r="108" spans="3:20">
      <c r="I108" s="187" t="s">
        <v>4876</v>
      </c>
      <c r="J108" s="186">
        <f>L108-L107-250000</f>
        <v>9825827</v>
      </c>
      <c r="K108" s="187" t="s">
        <v>4821</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4877</v>
      </c>
      <c r="L109" s="82">
        <v>764265377</v>
      </c>
      <c r="M109" s="82">
        <v>346850621</v>
      </c>
      <c r="N109" s="216">
        <f t="shared" si="9"/>
        <v>1111115998</v>
      </c>
      <c r="O109" s="111">
        <f t="shared" si="10"/>
        <v>4016059</v>
      </c>
      <c r="P109" s="111">
        <f t="shared" si="11"/>
        <v>8220984</v>
      </c>
      <c r="Q109" s="82">
        <v>0</v>
      </c>
    </row>
    <row r="110" spans="3:20" ht="30">
      <c r="I110" s="239" t="s">
        <v>4883</v>
      </c>
      <c r="J110" s="240">
        <f>L110-L109+48527480</f>
        <v>-4646184</v>
      </c>
      <c r="K110" s="213" t="s">
        <v>4880</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4885</v>
      </c>
      <c r="L111" s="82">
        <v>723218149</v>
      </c>
      <c r="M111" s="82">
        <v>378192152</v>
      </c>
      <c r="N111" s="111">
        <f t="shared" ref="N111:N122" si="12">L111+M111</f>
        <v>1101410301</v>
      </c>
      <c r="O111" s="111">
        <f t="shared" ref="O111:O144" si="13">M111-M110</f>
        <v>12390034</v>
      </c>
      <c r="P111" s="111">
        <f>N111-N110</f>
        <v>24516470</v>
      </c>
      <c r="Q111" s="82">
        <v>0</v>
      </c>
    </row>
    <row r="112" spans="3:20">
      <c r="I112" s="187" t="s">
        <v>4891</v>
      </c>
      <c r="J112" s="186">
        <f t="shared" si="5"/>
        <v>-11559770</v>
      </c>
      <c r="K112" s="187" t="s">
        <v>4886</v>
      </c>
      <c r="L112" s="233">
        <v>711658379</v>
      </c>
      <c r="M112" s="233">
        <v>375825031</v>
      </c>
      <c r="N112" s="186">
        <f t="shared" si="12"/>
        <v>1087483410</v>
      </c>
      <c r="O112" s="186">
        <f>M112-M111-400000</f>
        <v>-2767121</v>
      </c>
      <c r="P112" s="186">
        <f>N112-N111-400000</f>
        <v>-14326891</v>
      </c>
      <c r="Q112" s="82">
        <v>400000</v>
      </c>
      <c r="T112" t="s">
        <v>25</v>
      </c>
    </row>
    <row r="113" spans="9:19">
      <c r="I113" s="210" t="s">
        <v>4893</v>
      </c>
      <c r="J113" s="111">
        <f t="shared" si="5"/>
        <v>-47970668</v>
      </c>
      <c r="K113" s="210" t="s">
        <v>4892</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4895</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4896</v>
      </c>
      <c r="L115" s="82">
        <v>673546379</v>
      </c>
      <c r="M115" s="82">
        <v>385390359</v>
      </c>
      <c r="N115" s="111">
        <f t="shared" si="12"/>
        <v>1058936738</v>
      </c>
      <c r="O115" s="111">
        <f t="shared" si="13"/>
        <v>4912397</v>
      </c>
      <c r="P115" s="111">
        <f>N115-N114</f>
        <v>5263899</v>
      </c>
      <c r="Q115" s="82">
        <v>0</v>
      </c>
    </row>
    <row r="116" spans="9:19">
      <c r="I116" s="187" t="s">
        <v>4899</v>
      </c>
      <c r="J116" s="186">
        <f t="shared" si="5"/>
        <v>-3653734</v>
      </c>
      <c r="K116" s="187" t="s">
        <v>4897</v>
      </c>
      <c r="L116" s="233">
        <v>669892645</v>
      </c>
      <c r="M116" s="233">
        <v>383350206</v>
      </c>
      <c r="N116" s="186">
        <f>L116+M116</f>
        <v>1053242851</v>
      </c>
      <c r="O116" s="186">
        <f>M116-M115-2000000</f>
        <v>-4040153</v>
      </c>
      <c r="P116" s="186">
        <f>N116-N115-2000000</f>
        <v>-7693887</v>
      </c>
      <c r="Q116" s="82">
        <v>2000000</v>
      </c>
    </row>
    <row r="117" spans="9:19">
      <c r="I117" s="187" t="s">
        <v>4902</v>
      </c>
      <c r="J117" s="186">
        <f t="shared" si="5"/>
        <v>-492645</v>
      </c>
      <c r="K117" s="187" t="s">
        <v>4900</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4903</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4904</v>
      </c>
      <c r="L119" s="82">
        <v>685000000</v>
      </c>
      <c r="M119" s="82">
        <v>395000000</v>
      </c>
      <c r="N119" s="111">
        <f t="shared" si="12"/>
        <v>1080000000</v>
      </c>
      <c r="O119" s="111">
        <f t="shared" si="13"/>
        <v>2295548</v>
      </c>
      <c r="P119" s="111">
        <f>N119-N118</f>
        <v>10130487</v>
      </c>
      <c r="Q119" s="82">
        <v>0</v>
      </c>
    </row>
    <row r="120" spans="9:19">
      <c r="I120" s="187" t="s">
        <v>4906</v>
      </c>
      <c r="J120" s="186">
        <f>L120-L119-2100000</f>
        <v>2603523</v>
      </c>
      <c r="K120" s="187" t="s">
        <v>4905</v>
      </c>
      <c r="L120" s="233">
        <v>689703523</v>
      </c>
      <c r="M120" s="233">
        <v>399879880</v>
      </c>
      <c r="N120" s="186">
        <f t="shared" si="12"/>
        <v>1089583403</v>
      </c>
      <c r="O120" s="186">
        <f t="shared" si="13"/>
        <v>4879880</v>
      </c>
      <c r="P120" s="186">
        <f>N120-N119-2100000</f>
        <v>7483403</v>
      </c>
      <c r="Q120" s="82">
        <v>2100000</v>
      </c>
    </row>
    <row r="121" spans="9:19">
      <c r="I121" s="187" t="s">
        <v>4909</v>
      </c>
      <c r="J121" s="186">
        <f>L121-L120-100000</f>
        <v>1223636</v>
      </c>
      <c r="K121" s="187" t="s">
        <v>4908</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4911</v>
      </c>
      <c r="L122" s="82">
        <v>687768941</v>
      </c>
      <c r="M122" s="82">
        <v>400952125</v>
      </c>
      <c r="N122" s="111">
        <f t="shared" si="12"/>
        <v>1088721066</v>
      </c>
      <c r="O122" s="111">
        <f t="shared" si="13"/>
        <v>-968588</v>
      </c>
      <c r="P122" s="111">
        <f>N122-N121</f>
        <v>-4226806</v>
      </c>
      <c r="Q122" s="225">
        <v>0</v>
      </c>
    </row>
    <row r="123" spans="9:19">
      <c r="I123" s="187" t="s">
        <v>4917</v>
      </c>
      <c r="J123" s="186">
        <f>L123-L122-115000</f>
        <v>-1004989</v>
      </c>
      <c r="K123" s="187" t="s">
        <v>4913</v>
      </c>
      <c r="L123" s="233">
        <v>686878952</v>
      </c>
      <c r="M123" s="233">
        <v>402566982</v>
      </c>
      <c r="N123" s="186">
        <f>L123+M123</f>
        <v>1089445934</v>
      </c>
      <c r="O123" s="186">
        <f>M123-M122-115000</f>
        <v>1499857</v>
      </c>
      <c r="P123" s="186">
        <f>N123-N122-230000</f>
        <v>494868</v>
      </c>
      <c r="Q123" s="225">
        <v>230000</v>
      </c>
    </row>
    <row r="124" spans="9:19">
      <c r="I124" s="187" t="s">
        <v>4920</v>
      </c>
      <c r="J124" s="186">
        <f>L124-L123-900000</f>
        <v>16455514</v>
      </c>
      <c r="K124" s="187" t="s">
        <v>4919</v>
      </c>
      <c r="L124" s="233">
        <v>704234466</v>
      </c>
      <c r="M124" s="233">
        <v>413359717</v>
      </c>
      <c r="N124" s="216">
        <f t="shared" ref="N124:N145" si="14">L124+M124</f>
        <v>1117594183</v>
      </c>
      <c r="O124" s="186">
        <f t="shared" si="13"/>
        <v>10792735</v>
      </c>
      <c r="P124" s="186">
        <f>N124-N123-900000</f>
        <v>27248249</v>
      </c>
      <c r="Q124" s="225">
        <v>900000</v>
      </c>
    </row>
    <row r="125" spans="9:19">
      <c r="I125" s="187" t="s">
        <v>4922</v>
      </c>
      <c r="J125" s="186">
        <f>L125-L124-241774</f>
        <v>7847987</v>
      </c>
      <c r="K125" s="187" t="s">
        <v>4921</v>
      </c>
      <c r="L125" s="233">
        <v>712324227</v>
      </c>
      <c r="M125" s="233">
        <v>416450606</v>
      </c>
      <c r="N125" s="216">
        <f>L125+M125</f>
        <v>1128774833</v>
      </c>
      <c r="O125" s="186">
        <f>M125-M124-50000</f>
        <v>3040889</v>
      </c>
      <c r="P125" s="186">
        <f>N125-N124-291774</f>
        <v>10888876</v>
      </c>
      <c r="Q125" s="225">
        <v>291774</v>
      </c>
    </row>
    <row r="126" spans="9:19">
      <c r="I126" s="187" t="s">
        <v>4930</v>
      </c>
      <c r="J126" s="186">
        <f>L126-L125-5701774</f>
        <v>-18426154</v>
      </c>
      <c r="K126" s="187" t="s">
        <v>4929</v>
      </c>
      <c r="L126" s="233">
        <v>699599847</v>
      </c>
      <c r="M126" s="233">
        <v>407446033</v>
      </c>
      <c r="N126" s="186">
        <f t="shared" si="14"/>
        <v>1107045880</v>
      </c>
      <c r="O126" s="186">
        <f>M126-M125-50000</f>
        <v>-9054573</v>
      </c>
      <c r="P126" s="186">
        <f>N126-N125-5751774</f>
        <v>-27480727</v>
      </c>
      <c r="Q126" s="225">
        <v>5751774</v>
      </c>
    </row>
    <row r="127" spans="9:19">
      <c r="I127" s="242" t="s">
        <v>4935</v>
      </c>
      <c r="J127" s="243">
        <f t="shared" si="5"/>
        <v>9831878</v>
      </c>
      <c r="K127" s="242" t="s">
        <v>4931</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4936</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4937</v>
      </c>
      <c r="L129" s="246">
        <v>716306417</v>
      </c>
      <c r="M129" s="246">
        <v>419768145</v>
      </c>
      <c r="N129" s="216">
        <f>L129+M129</f>
        <v>1136074562</v>
      </c>
      <c r="O129" s="115">
        <f>M129-M128</f>
        <v>2907177</v>
      </c>
      <c r="P129" s="115">
        <f>N129-N128</f>
        <v>6569162</v>
      </c>
      <c r="Q129" s="225">
        <v>0</v>
      </c>
    </row>
    <row r="130" spans="9:30">
      <c r="I130" s="187" t="s">
        <v>4941</v>
      </c>
      <c r="J130" s="186">
        <f t="shared" si="5"/>
        <v>-9284823</v>
      </c>
      <c r="K130" s="187" t="s">
        <v>4939</v>
      </c>
      <c r="L130" s="233">
        <v>707021594</v>
      </c>
      <c r="M130" s="233">
        <v>420305454</v>
      </c>
      <c r="N130" s="186">
        <f t="shared" si="14"/>
        <v>1127327048</v>
      </c>
      <c r="O130" s="186">
        <f>M130-M129-6800000</f>
        <v>-6262691</v>
      </c>
      <c r="P130" s="186">
        <f>N130-N129-6800000</f>
        <v>-15547514</v>
      </c>
      <c r="Q130" s="225">
        <v>6800000</v>
      </c>
      <c r="S130" t="s">
        <v>25</v>
      </c>
    </row>
    <row r="131" spans="9:30">
      <c r="I131" s="187" t="s">
        <v>4947</v>
      </c>
      <c r="J131" s="186">
        <f t="shared" si="5"/>
        <v>2112595</v>
      </c>
      <c r="K131" s="187" t="s">
        <v>4942</v>
      </c>
      <c r="L131" s="233">
        <v>709134189</v>
      </c>
      <c r="M131" s="233">
        <v>421097153</v>
      </c>
      <c r="N131" s="186">
        <f t="shared" si="14"/>
        <v>1130231342</v>
      </c>
      <c r="O131" s="186">
        <f>M131-M130-500000</f>
        <v>291699</v>
      </c>
      <c r="P131" s="186">
        <f>N131-N130-500000</f>
        <v>2404294</v>
      </c>
      <c r="Q131" s="225">
        <v>500000</v>
      </c>
      <c r="S131" t="s">
        <v>25</v>
      </c>
    </row>
    <row r="132" spans="9:30">
      <c r="I132" s="242" t="s">
        <v>4950</v>
      </c>
      <c r="J132" s="243">
        <f t="shared" si="5"/>
        <v>1064287</v>
      </c>
      <c r="K132" s="242" t="s">
        <v>4948</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4954</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4955</v>
      </c>
      <c r="L134" s="82">
        <v>744280570</v>
      </c>
      <c r="M134" s="82">
        <v>440002399</v>
      </c>
      <c r="N134" s="216">
        <f t="shared" si="14"/>
        <v>1184282969</v>
      </c>
      <c r="O134" s="111">
        <f t="shared" si="13"/>
        <v>10396274</v>
      </c>
      <c r="P134" s="111">
        <f>N134-N133</f>
        <v>31854556</v>
      </c>
      <c r="Q134" s="225">
        <v>0</v>
      </c>
    </row>
    <row r="135" spans="9:30">
      <c r="I135" s="187" t="s">
        <v>4969</v>
      </c>
      <c r="J135" s="186">
        <f>L135-L134-1130250</f>
        <v>-410820</v>
      </c>
      <c r="K135" s="187" t="s">
        <v>4957</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4960</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4963</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4965</v>
      </c>
      <c r="L138" s="82">
        <v>736327754</v>
      </c>
      <c r="M138" s="82">
        <v>439057094</v>
      </c>
      <c r="N138" s="111">
        <f t="shared" si="14"/>
        <v>1175384848</v>
      </c>
      <c r="O138" s="111">
        <f t="shared" si="13"/>
        <v>5516545</v>
      </c>
      <c r="P138" s="111">
        <f>N138-N137</f>
        <v>9638954</v>
      </c>
      <c r="Q138" s="225">
        <v>0</v>
      </c>
      <c r="X138" s="94"/>
      <c r="Y138" s="94"/>
      <c r="Z138" s="94" t="s">
        <v>4590</v>
      </c>
      <c r="AA138" s="94"/>
    </row>
    <row r="139" spans="9:30">
      <c r="I139" s="187" t="s">
        <v>4968</v>
      </c>
      <c r="J139" s="186">
        <f>L139-L138-206000</f>
        <v>15013287</v>
      </c>
      <c r="K139" s="187" t="s">
        <v>4967</v>
      </c>
      <c r="L139" s="233">
        <v>751547041</v>
      </c>
      <c r="M139" s="233">
        <v>448656068</v>
      </c>
      <c r="N139" s="216">
        <f t="shared" si="14"/>
        <v>1200203109</v>
      </c>
      <c r="O139" s="186">
        <f>M139-M138-206000</f>
        <v>9392974</v>
      </c>
      <c r="P139" s="186">
        <f>N139-N138-412000</f>
        <v>24406261</v>
      </c>
      <c r="Q139" s="225">
        <v>412000</v>
      </c>
      <c r="X139" s="94"/>
      <c r="Y139" s="94"/>
      <c r="Z139" s="94" t="s">
        <v>4591</v>
      </c>
      <c r="AA139" s="204">
        <v>35441</v>
      </c>
      <c r="AD139" t="s">
        <v>25</v>
      </c>
    </row>
    <row r="140" spans="9:30" ht="90">
      <c r="I140" s="242" t="s">
        <v>4973</v>
      </c>
      <c r="J140" s="243">
        <f>L140-L139-50000</f>
        <v>22852739</v>
      </c>
      <c r="K140" s="242" t="s">
        <v>4972</v>
      </c>
      <c r="L140" s="244">
        <v>774449780</v>
      </c>
      <c r="M140" s="244">
        <v>460796198</v>
      </c>
      <c r="N140" s="216">
        <f t="shared" si="14"/>
        <v>1235245978</v>
      </c>
      <c r="O140" s="243">
        <f>M140-M139-50000</f>
        <v>12090130</v>
      </c>
      <c r="P140" s="243">
        <f>N140-N139-100000</f>
        <v>34942869</v>
      </c>
      <c r="Q140" s="225">
        <v>100000</v>
      </c>
      <c r="X140" s="22" t="s">
        <v>4594</v>
      </c>
      <c r="Y140" s="22" t="s">
        <v>4593</v>
      </c>
      <c r="Z140" s="22" t="s">
        <v>4592</v>
      </c>
      <c r="AA140" s="22" t="s">
        <v>4595</v>
      </c>
    </row>
    <row r="141" spans="9:30">
      <c r="I141" s="210"/>
      <c r="J141" s="111">
        <f t="shared" si="5"/>
        <v>13614989</v>
      </c>
      <c r="K141" s="210" t="s">
        <v>4975</v>
      </c>
      <c r="L141" s="82">
        <v>788064769</v>
      </c>
      <c r="M141" s="82">
        <v>470434493</v>
      </c>
      <c r="N141" s="216">
        <f t="shared" si="14"/>
        <v>1258499262</v>
      </c>
      <c r="O141" s="111">
        <f t="shared" si="13"/>
        <v>9638295</v>
      </c>
      <c r="P141" s="111">
        <f>N141-N140</f>
        <v>23253284</v>
      </c>
      <c r="Q141" s="225">
        <v>0</v>
      </c>
    </row>
    <row r="142" spans="9:30">
      <c r="I142" s="187" t="s">
        <v>4978</v>
      </c>
      <c r="J142" s="186">
        <f>L142-L141-105000</f>
        <v>7274368</v>
      </c>
      <c r="K142" s="187" t="s">
        <v>4976</v>
      </c>
      <c r="L142" s="233">
        <v>795444137</v>
      </c>
      <c r="M142" s="233">
        <v>496046411</v>
      </c>
      <c r="N142" s="216">
        <f t="shared" si="14"/>
        <v>1291490548</v>
      </c>
      <c r="O142" s="186">
        <f>M142-M141-20000000</f>
        <v>5611918</v>
      </c>
      <c r="P142" s="186">
        <f>N142-N141-20105000</f>
        <v>12886286</v>
      </c>
      <c r="Q142" s="225">
        <v>20105000</v>
      </c>
    </row>
    <row r="143" spans="9:30">
      <c r="I143" s="256" t="s">
        <v>4984</v>
      </c>
      <c r="J143" s="257">
        <f>L143-L142+21285588</f>
        <v>17942685</v>
      </c>
      <c r="K143" s="256" t="s">
        <v>4980</v>
      </c>
      <c r="L143" s="258">
        <v>792101234</v>
      </c>
      <c r="M143" s="258">
        <v>504721695</v>
      </c>
      <c r="N143" s="216">
        <f t="shared" si="14"/>
        <v>1296822929</v>
      </c>
      <c r="O143" s="257">
        <f t="shared" si="13"/>
        <v>8675284</v>
      </c>
      <c r="P143" s="257">
        <f>N143-N142+21285588</f>
        <v>26617969</v>
      </c>
      <c r="Q143" s="225">
        <v>-21285588</v>
      </c>
    </row>
    <row r="144" spans="9:30">
      <c r="I144" s="256" t="s">
        <v>4985</v>
      </c>
      <c r="J144" s="257">
        <f>L144-L143+5949277</f>
        <v>6616903</v>
      </c>
      <c r="K144" s="256" t="s">
        <v>4981</v>
      </c>
      <c r="L144" s="258">
        <v>792768860</v>
      </c>
      <c r="M144" s="258">
        <v>507955566</v>
      </c>
      <c r="N144" s="216">
        <f t="shared" si="14"/>
        <v>1300724426</v>
      </c>
      <c r="O144" s="257">
        <f t="shared" si="13"/>
        <v>3233871</v>
      </c>
      <c r="P144" s="257">
        <f>N144-N143+5949277</f>
        <v>9850774</v>
      </c>
      <c r="Q144" s="225">
        <v>-5949277</v>
      </c>
    </row>
    <row r="145" spans="9:23" ht="30">
      <c r="I145" s="239" t="s">
        <v>4986</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4988</v>
      </c>
      <c r="J146" s="216">
        <f>L146-L145+15482124</f>
        <v>-6662026</v>
      </c>
      <c r="K146" s="215" t="s">
        <v>4987</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4989</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4990</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4991</v>
      </c>
      <c r="L149" s="82">
        <v>740819252</v>
      </c>
      <c r="M149" s="82">
        <v>470305993</v>
      </c>
      <c r="N149" s="111">
        <f t="shared" si="15"/>
        <v>1211125245</v>
      </c>
      <c r="O149" s="111">
        <f t="shared" si="17"/>
        <v>-1758760</v>
      </c>
      <c r="P149" s="111">
        <f t="shared" si="18"/>
        <v>-3863586</v>
      </c>
      <c r="Q149" s="225">
        <v>0</v>
      </c>
      <c r="V149" t="s">
        <v>25</v>
      </c>
    </row>
    <row r="150" spans="9:23">
      <c r="I150" s="187" t="s">
        <v>4994</v>
      </c>
      <c r="J150" s="186">
        <f t="shared" si="16"/>
        <v>19640187</v>
      </c>
      <c r="K150" s="187" t="s">
        <v>4993</v>
      </c>
      <c r="L150" s="233">
        <v>760459439</v>
      </c>
      <c r="M150" s="233">
        <v>480341526</v>
      </c>
      <c r="N150" s="186">
        <f t="shared" si="15"/>
        <v>1240800965</v>
      </c>
      <c r="O150" s="186">
        <f>M150-M149-2480000</f>
        <v>7555533</v>
      </c>
      <c r="P150" s="186">
        <f>N150-N149-2480000</f>
        <v>27195720</v>
      </c>
      <c r="Q150" s="225">
        <v>2480000</v>
      </c>
    </row>
    <row r="151" spans="9:23">
      <c r="I151" s="210" t="s">
        <v>4997</v>
      </c>
      <c r="J151" s="111">
        <f>L151-L150-10000000</f>
        <v>7047541</v>
      </c>
      <c r="K151" s="210" t="s">
        <v>4996</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4998</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5001</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5002</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4999</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5003</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5004</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5000</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5015</v>
      </c>
      <c r="J160" s="186">
        <f>L160-L159-1000000</f>
        <v>-11757327</v>
      </c>
      <c r="K160" s="187" t="s">
        <v>5014</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5016</v>
      </c>
      <c r="L161" s="82">
        <v>809787758</v>
      </c>
      <c r="M161" s="82">
        <v>508573621</v>
      </c>
      <c r="N161" s="111">
        <f t="shared" si="15"/>
        <v>1318361379</v>
      </c>
      <c r="O161" s="111">
        <f t="shared" si="19"/>
        <v>8266116</v>
      </c>
      <c r="P161" s="111">
        <f t="shared" si="20"/>
        <v>23567917</v>
      </c>
    </row>
    <row r="162" spans="9:18">
      <c r="I162" s="242" t="s">
        <v>5018</v>
      </c>
      <c r="J162" s="243">
        <f>L162-L161-40000</f>
        <v>22492792</v>
      </c>
      <c r="K162" s="242" t="s">
        <v>5017</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5020</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5025</v>
      </c>
      <c r="L164" s="82">
        <v>839851298</v>
      </c>
      <c r="M164" s="82">
        <v>524867809</v>
      </c>
      <c r="N164" s="111">
        <f t="shared" si="15"/>
        <v>1364719107</v>
      </c>
      <c r="O164" s="111">
        <f t="shared" si="19"/>
        <v>-5011363</v>
      </c>
      <c r="P164" s="111">
        <f t="shared" si="20"/>
        <v>-14640971</v>
      </c>
      <c r="Q164" s="225">
        <v>0</v>
      </c>
    </row>
    <row r="165" spans="9:18">
      <c r="I165" s="242" t="s">
        <v>5027</v>
      </c>
      <c r="J165" s="243">
        <f>L165-L164-120000</f>
        <v>-2216696</v>
      </c>
      <c r="K165" s="242" t="s">
        <v>5026</v>
      </c>
      <c r="L165" s="244">
        <v>837754602</v>
      </c>
      <c r="M165" s="244">
        <v>524141818</v>
      </c>
      <c r="N165" s="243">
        <f t="shared" si="15"/>
        <v>1361896420</v>
      </c>
      <c r="O165" s="243">
        <f>M165-M164-200000</f>
        <v>-925991</v>
      </c>
      <c r="P165" s="243">
        <f>N165-N164-320000</f>
        <v>-3142687</v>
      </c>
      <c r="Q165" s="225">
        <v>320000</v>
      </c>
    </row>
    <row r="166" spans="9:18">
      <c r="I166" s="242" t="s">
        <v>4947</v>
      </c>
      <c r="J166" s="243">
        <f t="shared" si="16"/>
        <v>-5830761</v>
      </c>
      <c r="K166" s="242" t="s">
        <v>5030</v>
      </c>
      <c r="L166" s="244">
        <v>831923841</v>
      </c>
      <c r="M166" s="244">
        <v>520741895</v>
      </c>
      <c r="N166" s="243">
        <f t="shared" si="15"/>
        <v>1352665736</v>
      </c>
      <c r="O166" s="243">
        <f>M166-M165-500000</f>
        <v>-3899923</v>
      </c>
      <c r="P166" s="243">
        <f>N166-N165-500000</f>
        <v>-9730684</v>
      </c>
      <c r="Q166" s="225">
        <v>500000</v>
      </c>
    </row>
    <row r="167" spans="9:18">
      <c r="I167" s="242" t="s">
        <v>4947</v>
      </c>
      <c r="J167" s="243">
        <f t="shared" si="16"/>
        <v>-22467551</v>
      </c>
      <c r="K167" s="242" t="s">
        <v>5032</v>
      </c>
      <c r="L167" s="244">
        <v>809456290</v>
      </c>
      <c r="M167" s="244">
        <v>509313372</v>
      </c>
      <c r="N167" s="243">
        <f t="shared" si="15"/>
        <v>1318769662</v>
      </c>
      <c r="O167" s="243">
        <f>M167-M166-500000</f>
        <v>-11928523</v>
      </c>
      <c r="P167" s="243">
        <f>N167-N166-500000</f>
        <v>-34396074</v>
      </c>
      <c r="Q167" s="225">
        <v>500000</v>
      </c>
    </row>
    <row r="168" spans="9:18">
      <c r="I168" s="242" t="s">
        <v>5033</v>
      </c>
      <c r="J168" s="243">
        <f>L168-L167-249000</f>
        <v>-15588738</v>
      </c>
      <c r="K168" s="242" t="s">
        <v>5022</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5034</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5037</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5045</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5046</v>
      </c>
      <c r="L173" s="82">
        <v>802082154</v>
      </c>
      <c r="M173" s="82">
        <v>508611485</v>
      </c>
      <c r="N173" s="111">
        <f t="shared" si="15"/>
        <v>1310693639</v>
      </c>
      <c r="O173" s="111">
        <f t="shared" si="19"/>
        <v>-117320</v>
      </c>
      <c r="P173" s="111">
        <f t="shared" si="20"/>
        <v>-4323075</v>
      </c>
      <c r="Q173" s="225">
        <v>0</v>
      </c>
      <c r="R173" t="s">
        <v>25</v>
      </c>
    </row>
    <row r="174" spans="9:18">
      <c r="I174" s="242" t="s">
        <v>5049</v>
      </c>
      <c r="J174" s="243">
        <f>L174-L173-65000</f>
        <v>5888390</v>
      </c>
      <c r="K174" s="242" t="s">
        <v>5048</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5055</v>
      </c>
      <c r="J176" s="240">
        <f>L176-L175+305807</f>
        <v>8668560</v>
      </c>
      <c r="K176" s="213" t="s">
        <v>5053</v>
      </c>
      <c r="L176" s="241">
        <v>816745622</v>
      </c>
      <c r="M176" s="241">
        <v>516127148</v>
      </c>
      <c r="N176" s="240">
        <f t="shared" si="15"/>
        <v>1332872770</v>
      </c>
      <c r="O176" s="240">
        <f>M176-M175+305807</f>
        <v>3691986</v>
      </c>
      <c r="P176" s="240">
        <f>N176-N175+611614</f>
        <v>12360546</v>
      </c>
      <c r="Q176" s="225">
        <v>-611614</v>
      </c>
    </row>
    <row r="177" spans="9:17">
      <c r="I177" s="150" t="s">
        <v>5056</v>
      </c>
      <c r="J177" s="240">
        <f>L177-L176+63348</f>
        <v>4837676</v>
      </c>
      <c r="K177" s="213" t="s">
        <v>5054</v>
      </c>
      <c r="L177" s="241">
        <v>821519950</v>
      </c>
      <c r="M177" s="241">
        <v>505943649</v>
      </c>
      <c r="N177" s="240">
        <f t="shared" si="15"/>
        <v>1327463599</v>
      </c>
      <c r="O177" s="240">
        <f>M177-M176+13076601</f>
        <v>2893102</v>
      </c>
      <c r="P177" s="240">
        <f>N177-N176+13139949</f>
        <v>7730778</v>
      </c>
      <c r="Q177" s="225">
        <v>-13139949</v>
      </c>
    </row>
    <row r="178" spans="9:17">
      <c r="I178" s="263" t="s">
        <v>5059</v>
      </c>
      <c r="J178" s="264">
        <f>L178-L177-50000</f>
        <v>30757186</v>
      </c>
      <c r="K178" s="263" t="s">
        <v>5058</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5023</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5064</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5067</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5068</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5073</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5074</v>
      </c>
      <c r="L184" s="82">
        <v>904707054</v>
      </c>
      <c r="M184" s="82">
        <v>557394961</v>
      </c>
      <c r="N184" s="111">
        <f t="shared" si="15"/>
        <v>1462102015</v>
      </c>
      <c r="O184" s="111">
        <f t="shared" si="19"/>
        <v>-6711498</v>
      </c>
      <c r="P184" s="111">
        <f t="shared" si="20"/>
        <v>-18369320</v>
      </c>
      <c r="Q184" s="225">
        <v>0</v>
      </c>
    </row>
    <row r="185" spans="9:17">
      <c r="I185" s="187" t="s">
        <v>5077</v>
      </c>
      <c r="J185" s="186">
        <f>L185-L184-200000</f>
        <v>15983884</v>
      </c>
      <c r="K185" s="187" t="s">
        <v>5075</v>
      </c>
      <c r="L185" s="233">
        <v>920890938</v>
      </c>
      <c r="M185" s="233">
        <v>566042468</v>
      </c>
      <c r="N185" s="186">
        <f t="shared" si="15"/>
        <v>1486933406</v>
      </c>
      <c r="O185" s="186">
        <f t="shared" si="19"/>
        <v>8647507</v>
      </c>
      <c r="P185" s="186">
        <f>N185-N184-200000</f>
        <v>24631391</v>
      </c>
      <c r="Q185" s="225">
        <v>200000</v>
      </c>
    </row>
    <row r="186" spans="9:17">
      <c r="I186" s="187" t="s">
        <v>5084</v>
      </c>
      <c r="J186" s="186">
        <f>L186-L185-30000</f>
        <v>1392982</v>
      </c>
      <c r="K186" s="187" t="s">
        <v>5078</v>
      </c>
      <c r="L186" s="233">
        <v>922313920</v>
      </c>
      <c r="M186" s="233">
        <v>567221668</v>
      </c>
      <c r="N186" s="186">
        <f t="shared" si="15"/>
        <v>1489535588</v>
      </c>
      <c r="O186" s="186">
        <f t="shared" si="19"/>
        <v>1179200</v>
      </c>
      <c r="P186" s="186">
        <f>N186-N185-30000</f>
        <v>2572182</v>
      </c>
      <c r="Q186" s="225">
        <v>30000</v>
      </c>
    </row>
    <row r="187" spans="9:17">
      <c r="I187" s="210" t="s">
        <v>5089</v>
      </c>
      <c r="J187" s="111">
        <f t="shared" si="16"/>
        <v>-1865454</v>
      </c>
      <c r="K187" s="210" t="s">
        <v>5088</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5090</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5036</v>
      </c>
      <c r="L189" s="82">
        <v>951067529</v>
      </c>
      <c r="M189" s="82">
        <v>596275041</v>
      </c>
      <c r="N189" s="216">
        <f t="shared" si="15"/>
        <v>1547342570</v>
      </c>
      <c r="O189" s="111">
        <f t="shared" si="19"/>
        <v>8603623</v>
      </c>
      <c r="P189" s="111">
        <f t="shared" si="20"/>
        <v>26700407</v>
      </c>
      <c r="Q189" s="225">
        <v>0</v>
      </c>
    </row>
    <row r="190" spans="9:17" ht="30">
      <c r="I190" s="262" t="s">
        <v>5097</v>
      </c>
      <c r="J190" s="186">
        <f>L190-L189+4000000</f>
        <v>-1393565</v>
      </c>
      <c r="K190" s="187" t="s">
        <v>5096</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5099</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5100</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5102</v>
      </c>
      <c r="L194" s="246">
        <v>901275329</v>
      </c>
      <c r="M194" s="246">
        <v>583098793</v>
      </c>
      <c r="N194" s="115">
        <f>L194+M194</f>
        <v>1484374122</v>
      </c>
      <c r="O194" s="115">
        <f t="shared" si="19"/>
        <v>-3486217</v>
      </c>
      <c r="P194" s="115">
        <f>N194-N193</f>
        <v>-18861608</v>
      </c>
      <c r="Q194" s="225">
        <v>0</v>
      </c>
    </row>
    <row r="195" spans="9:17">
      <c r="I195" s="187" t="s">
        <v>5107</v>
      </c>
      <c r="J195" s="186">
        <f>L195-L194-150000</f>
        <v>17593478</v>
      </c>
      <c r="K195" s="187" t="s">
        <v>5105</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5108</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5109</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5114</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5139</v>
      </c>
      <c r="L199" s="82">
        <v>992076311</v>
      </c>
      <c r="M199" s="82">
        <v>638214788</v>
      </c>
      <c r="N199" s="216">
        <f t="shared" si="15"/>
        <v>1630291099</v>
      </c>
      <c r="O199" s="111">
        <f t="shared" si="19"/>
        <v>470124</v>
      </c>
      <c r="P199" s="111">
        <f t="shared" si="20"/>
        <v>12547575</v>
      </c>
      <c r="Q199" s="225">
        <v>0</v>
      </c>
    </row>
    <row r="200" spans="9:17">
      <c r="I200" s="187" t="s">
        <v>5144</v>
      </c>
      <c r="J200" s="186">
        <f>L200-L199-400000</f>
        <v>-7612896</v>
      </c>
      <c r="K200" s="187" t="s">
        <v>5141</v>
      </c>
      <c r="L200" s="233">
        <v>984863415</v>
      </c>
      <c r="M200" s="233">
        <v>632226484</v>
      </c>
      <c r="N200" s="186">
        <f t="shared" si="15"/>
        <v>1617089899</v>
      </c>
      <c r="O200" s="186">
        <f t="shared" si="19"/>
        <v>-5988304</v>
      </c>
      <c r="P200" s="186">
        <f>N200-N199-400000</f>
        <v>-13601200</v>
      </c>
      <c r="Q200" s="225">
        <v>400000</v>
      </c>
    </row>
    <row r="201" spans="9:17">
      <c r="I201" s="213" t="s">
        <v>5147</v>
      </c>
      <c r="J201" s="240">
        <f>L201-L200+100000</f>
        <v>12509920</v>
      </c>
      <c r="K201" s="213" t="s">
        <v>5145</v>
      </c>
      <c r="L201" s="241">
        <v>997273335</v>
      </c>
      <c r="M201" s="241">
        <v>639479822</v>
      </c>
      <c r="N201" s="216">
        <f t="shared" si="15"/>
        <v>1636753157</v>
      </c>
      <c r="O201" s="240">
        <f t="shared" si="19"/>
        <v>7253338</v>
      </c>
      <c r="P201" s="240">
        <f>N201-N200+100000</f>
        <v>19763258</v>
      </c>
      <c r="Q201" s="225">
        <v>-100000</v>
      </c>
    </row>
    <row r="202" spans="9:17">
      <c r="I202" s="187" t="s">
        <v>5150</v>
      </c>
      <c r="J202" s="186">
        <f>L202-L201-10000000</f>
        <v>-2265988</v>
      </c>
      <c r="K202" s="187" t="s">
        <v>5149</v>
      </c>
      <c r="L202" s="233">
        <v>1005007347</v>
      </c>
      <c r="M202" s="233">
        <v>636084938</v>
      </c>
      <c r="N202" s="186">
        <f t="shared" si="15"/>
        <v>1641092285</v>
      </c>
      <c r="O202" s="186">
        <f t="shared" si="19"/>
        <v>-3394884</v>
      </c>
      <c r="P202" s="186">
        <f>N202-N201-10000000</f>
        <v>-5660872</v>
      </c>
      <c r="Q202" s="225">
        <v>10000000</v>
      </c>
    </row>
    <row r="203" spans="9:17">
      <c r="I203" s="213" t="s">
        <v>5155</v>
      </c>
      <c r="J203" s="240">
        <f>L203-L202+400000</f>
        <v>8061336</v>
      </c>
      <c r="K203" s="213" t="s">
        <v>5154</v>
      </c>
      <c r="L203" s="241">
        <v>1012668683</v>
      </c>
      <c r="M203" s="241">
        <v>641491326</v>
      </c>
      <c r="N203" s="216">
        <f t="shared" si="15"/>
        <v>1654160009</v>
      </c>
      <c r="O203" s="240">
        <f t="shared" si="19"/>
        <v>5406388</v>
      </c>
      <c r="P203" s="240">
        <f>N203-N202+400000</f>
        <v>13467724</v>
      </c>
      <c r="Q203" s="225">
        <v>-400000</v>
      </c>
    </row>
    <row r="204" spans="9:17">
      <c r="I204" s="213" t="s">
        <v>5156</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5157</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5160</v>
      </c>
      <c r="L206" s="82">
        <v>991102717</v>
      </c>
      <c r="M206" s="82">
        <v>623731041</v>
      </c>
      <c r="N206" s="111">
        <f t="shared" si="22"/>
        <v>1614833758</v>
      </c>
      <c r="O206" s="111">
        <f>M206-M205</f>
        <v>-2790917</v>
      </c>
      <c r="P206" s="111">
        <f>N206-N205</f>
        <v>-6391417</v>
      </c>
      <c r="Q206" s="225">
        <v>0</v>
      </c>
    </row>
    <row r="207" spans="9:17">
      <c r="I207" s="187" t="s">
        <v>5163</v>
      </c>
      <c r="J207" s="186">
        <f>L207-L206-1300000</f>
        <v>-17889835</v>
      </c>
      <c r="K207" s="187" t="s">
        <v>5161</v>
      </c>
      <c r="L207" s="233">
        <v>974512882</v>
      </c>
      <c r="M207" s="233">
        <v>611227725</v>
      </c>
      <c r="N207" s="186">
        <f t="shared" si="22"/>
        <v>1585740607</v>
      </c>
      <c r="O207" s="186">
        <f>M207-M206-230000</f>
        <v>-12733316</v>
      </c>
      <c r="P207" s="186">
        <f>N207-N206-1530000</f>
        <v>-30623151</v>
      </c>
      <c r="Q207" s="225">
        <v>1530000</v>
      </c>
    </row>
    <row r="208" spans="9:17">
      <c r="I208" s="213" t="s">
        <v>5165</v>
      </c>
      <c r="J208" s="240">
        <f>L208-L207-230000</f>
        <v>26666770</v>
      </c>
      <c r="K208" s="213" t="s">
        <v>5164</v>
      </c>
      <c r="L208" s="241">
        <v>1001409652</v>
      </c>
      <c r="M208" s="241">
        <v>627313031</v>
      </c>
      <c r="N208" s="240">
        <f t="shared" si="22"/>
        <v>1628722683</v>
      </c>
      <c r="O208" s="240">
        <f>M208-M207+880000</f>
        <v>16965306</v>
      </c>
      <c r="P208" s="240">
        <f>N208-N207</f>
        <v>42982076</v>
      </c>
      <c r="Q208" s="225">
        <v>-650000</v>
      </c>
    </row>
    <row r="209" spans="9:19">
      <c r="I209" s="187" t="s">
        <v>5166</v>
      </c>
      <c r="J209" s="186">
        <f>L209-L208-880000</f>
        <v>38363123</v>
      </c>
      <c r="K209" s="187" t="s">
        <v>5167</v>
      </c>
      <c r="L209" s="233">
        <v>1040652775</v>
      </c>
      <c r="M209" s="233">
        <v>653526288</v>
      </c>
      <c r="N209" s="216">
        <f t="shared" si="22"/>
        <v>1694179063</v>
      </c>
      <c r="O209" s="186">
        <f>M209-M208</f>
        <v>26213257</v>
      </c>
      <c r="P209" s="186">
        <f>N209-N208-880000</f>
        <v>64576380</v>
      </c>
      <c r="Q209" s="225">
        <v>880000</v>
      </c>
    </row>
    <row r="210" spans="9:19">
      <c r="I210" s="213" t="s">
        <v>5170</v>
      </c>
      <c r="J210" s="240">
        <f>L210-L209+900000</f>
        <v>20298534</v>
      </c>
      <c r="K210" s="213" t="s">
        <v>5168</v>
      </c>
      <c r="L210" s="241">
        <v>1060051309</v>
      </c>
      <c r="M210" s="241">
        <v>663872836</v>
      </c>
      <c r="N210" s="216">
        <f t="shared" si="22"/>
        <v>1723924145</v>
      </c>
      <c r="O210" s="240">
        <f>M210-M209-200000</f>
        <v>10146548</v>
      </c>
      <c r="P210" s="240">
        <f>N210-N209+700000</f>
        <v>30445082</v>
      </c>
      <c r="Q210" s="225">
        <v>-700000</v>
      </c>
    </row>
    <row r="211" spans="9:19">
      <c r="I211" s="187" t="s">
        <v>5171</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5172</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5173</v>
      </c>
      <c r="J213" s="111">
        <f>L213-L212+800000</f>
        <v>15351721</v>
      </c>
      <c r="K213" s="210" t="s">
        <v>5174</v>
      </c>
      <c r="L213" s="82">
        <v>1017597520</v>
      </c>
      <c r="M213" s="82">
        <v>638870084</v>
      </c>
      <c r="N213" s="111">
        <f t="shared" si="22"/>
        <v>1656467604</v>
      </c>
      <c r="O213" s="111">
        <f>M213-M212+10000000</f>
        <v>14214313</v>
      </c>
      <c r="P213" s="111">
        <f>N213-N212+10800000</f>
        <v>29566034</v>
      </c>
      <c r="Q213" s="225">
        <v>-10800000</v>
      </c>
    </row>
    <row r="214" spans="9:19">
      <c r="I214" s="213" t="s">
        <v>5181</v>
      </c>
      <c r="J214" s="240">
        <f t="shared" si="21"/>
        <v>-18127600</v>
      </c>
      <c r="K214" s="213" t="s">
        <v>5176</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5182</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5184</v>
      </c>
      <c r="J217" s="240">
        <f>L217-L216-50000</f>
        <v>-3947893</v>
      </c>
      <c r="K217" s="213" t="s">
        <v>5183</v>
      </c>
      <c r="L217" s="241">
        <v>1010326365</v>
      </c>
      <c r="M217" s="241">
        <v>632690003</v>
      </c>
      <c r="N217" s="240">
        <f t="shared" si="23"/>
        <v>1643016368</v>
      </c>
      <c r="O217" s="240">
        <f t="shared" si="24"/>
        <v>-2811879</v>
      </c>
      <c r="P217" s="240">
        <f>N217-N216-50000</f>
        <v>-6759772</v>
      </c>
      <c r="Q217" s="225">
        <v>50000</v>
      </c>
    </row>
    <row r="218" spans="9:19">
      <c r="I218" s="213" t="s">
        <v>5186</v>
      </c>
      <c r="J218" s="240">
        <f>L218-L217-400000</f>
        <v>-7352281</v>
      </c>
      <c r="K218" s="213" t="s">
        <v>5188</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5190</v>
      </c>
      <c r="L219" s="82">
        <v>999517682</v>
      </c>
      <c r="M219" s="82">
        <v>627640361</v>
      </c>
      <c r="N219" s="111">
        <f t="shared" si="23"/>
        <v>1627158043</v>
      </c>
      <c r="O219" s="111">
        <f t="shared" si="24"/>
        <v>-1762209</v>
      </c>
      <c r="P219" s="111">
        <f t="shared" si="25"/>
        <v>-5618611</v>
      </c>
      <c r="Q219" s="225">
        <v>0</v>
      </c>
    </row>
    <row r="220" spans="9:19">
      <c r="I220" s="187" t="s">
        <v>5192</v>
      </c>
      <c r="J220" s="186">
        <f t="shared" si="21"/>
        <v>30762624</v>
      </c>
      <c r="K220" s="187" t="s">
        <v>5191</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5159</v>
      </c>
      <c r="L221" s="82">
        <v>1013932649</v>
      </c>
      <c r="M221" s="82">
        <v>635152182</v>
      </c>
      <c r="N221" s="111">
        <f t="shared" si="23"/>
        <v>1649084831</v>
      </c>
      <c r="O221" s="111">
        <f t="shared" si="24"/>
        <v>-10386048</v>
      </c>
      <c r="P221" s="111">
        <f t="shared" si="25"/>
        <v>-26733705</v>
      </c>
      <c r="Q221" s="225">
        <v>0</v>
      </c>
    </row>
    <row r="222" spans="9:19">
      <c r="I222" s="268" t="s">
        <v>5196</v>
      </c>
      <c r="J222" s="269">
        <f>L222-L221+7000000</f>
        <v>4431891</v>
      </c>
      <c r="K222" s="268" t="s">
        <v>5197</v>
      </c>
      <c r="L222" s="270">
        <v>1011364540</v>
      </c>
      <c r="M222" s="270">
        <v>634014280</v>
      </c>
      <c r="N222" s="269">
        <f t="shared" si="23"/>
        <v>1645378820</v>
      </c>
      <c r="O222" s="269">
        <f t="shared" si="24"/>
        <v>-1137902</v>
      </c>
      <c r="P222" s="269">
        <f>N222-N221+7000000</f>
        <v>3293989</v>
      </c>
      <c r="Q222" s="225">
        <v>-7000000</v>
      </c>
    </row>
    <row r="223" spans="9:19">
      <c r="I223" s="213" t="s">
        <v>5199</v>
      </c>
      <c r="J223" s="240">
        <f t="shared" si="21"/>
        <v>-12364540</v>
      </c>
      <c r="K223" s="213" t="s">
        <v>5198</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5200</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5201</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5202</v>
      </c>
      <c r="L226" s="82">
        <v>995000000</v>
      </c>
      <c r="M226" s="82">
        <v>625000000</v>
      </c>
      <c r="N226" s="111">
        <f t="shared" si="23"/>
        <v>1620000000</v>
      </c>
      <c r="O226" s="111">
        <f t="shared" si="24"/>
        <v>-2621912</v>
      </c>
      <c r="P226" s="111">
        <f t="shared" si="25"/>
        <v>-8262288</v>
      </c>
      <c r="Q226" s="225">
        <v>0</v>
      </c>
    </row>
    <row r="227" spans="9:19">
      <c r="I227" s="187" t="s">
        <v>5203</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5205</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5206</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5207</v>
      </c>
      <c r="L230" s="82">
        <v>981346829</v>
      </c>
      <c r="M230" s="82">
        <v>616768631</v>
      </c>
      <c r="N230" s="111">
        <f>L230+M230</f>
        <v>1598115460</v>
      </c>
      <c r="O230" s="111">
        <f t="shared" si="24"/>
        <v>-231369</v>
      </c>
      <c r="P230" s="111">
        <f t="shared" si="25"/>
        <v>-2584540</v>
      </c>
      <c r="Q230" s="225">
        <v>0</v>
      </c>
    </row>
    <row r="231" spans="9:19">
      <c r="I231" s="187" t="s">
        <v>5209</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5208</v>
      </c>
      <c r="L232" s="82">
        <v>982764273</v>
      </c>
      <c r="M232" s="82">
        <v>618232370</v>
      </c>
      <c r="N232" s="111">
        <f t="shared" si="23"/>
        <v>1600996643</v>
      </c>
      <c r="O232" s="111">
        <f t="shared" si="24"/>
        <v>9817180</v>
      </c>
      <c r="P232" s="111">
        <f t="shared" si="25"/>
        <v>27833689</v>
      </c>
      <c r="Q232" s="225">
        <v>0</v>
      </c>
    </row>
    <row r="233" spans="9:19">
      <c r="I233" s="187" t="s">
        <v>5212</v>
      </c>
      <c r="J233" s="186">
        <f>L233-L232+990760</f>
        <v>270597</v>
      </c>
      <c r="K233" s="187" t="s">
        <v>5211</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5213</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5214</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5217</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5218</v>
      </c>
      <c r="L237" s="82">
        <v>973935836</v>
      </c>
      <c r="M237" s="82">
        <v>612781866</v>
      </c>
      <c r="N237" s="111">
        <f t="shared" si="23"/>
        <v>1586717702</v>
      </c>
      <c r="O237" s="111">
        <f t="shared" si="24"/>
        <v>-4703074</v>
      </c>
      <c r="P237" s="111">
        <f t="shared" si="25"/>
        <v>-14274043</v>
      </c>
      <c r="Q237" s="225">
        <v>0</v>
      </c>
    </row>
    <row r="238" spans="9:19">
      <c r="I238" s="213" t="s">
        <v>5220</v>
      </c>
      <c r="J238" s="240">
        <f>L238-L237-101268</f>
        <v>10034013</v>
      </c>
      <c r="K238" s="213" t="s">
        <v>5219</v>
      </c>
      <c r="L238" s="241">
        <v>984071117</v>
      </c>
      <c r="M238" s="241">
        <v>619527192</v>
      </c>
      <c r="N238" s="240">
        <f t="shared" si="23"/>
        <v>1603598309</v>
      </c>
      <c r="O238" s="240">
        <f t="shared" si="24"/>
        <v>6745326</v>
      </c>
      <c r="P238" s="240">
        <f>N238-N237-101268</f>
        <v>16779339</v>
      </c>
      <c r="Q238" s="225">
        <v>101268</v>
      </c>
    </row>
    <row r="239" spans="9:19">
      <c r="I239" s="271" t="s">
        <v>5221</v>
      </c>
      <c r="J239" s="92">
        <f>L239-L238-101000</f>
        <v>-5512506</v>
      </c>
      <c r="K239" s="271" t="s">
        <v>5222</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5223</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5225</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5227</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5228</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5229</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5232</v>
      </c>
      <c r="L246" s="82">
        <v>998587209</v>
      </c>
      <c r="M246" s="82">
        <v>628989460</v>
      </c>
      <c r="N246" s="111">
        <f t="shared" si="27"/>
        <v>1627576669</v>
      </c>
      <c r="O246" s="111">
        <f t="shared" si="28"/>
        <v>-386804</v>
      </c>
      <c r="P246" s="111">
        <f t="shared" si="28"/>
        <v>-378799</v>
      </c>
      <c r="Q246" s="225">
        <v>0</v>
      </c>
    </row>
    <row r="247" spans="9:19">
      <c r="I247" s="187" t="s">
        <v>5234</v>
      </c>
      <c r="J247" s="186">
        <f t="shared" si="26"/>
        <v>57939414</v>
      </c>
      <c r="K247" s="187" t="s">
        <v>5233</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5235</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5236</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5237</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5238</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4505</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5239</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5240</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5241</v>
      </c>
      <c r="L255" s="82">
        <v>1154946925</v>
      </c>
      <c r="M255" s="82">
        <v>724493233</v>
      </c>
      <c r="N255" s="216">
        <f t="shared" si="31"/>
        <v>1879440158</v>
      </c>
      <c r="O255" s="111">
        <f t="shared" si="32"/>
        <v>3771085</v>
      </c>
      <c r="P255" s="111">
        <f t="shared" si="33"/>
        <v>9561690</v>
      </c>
      <c r="Q255" s="225">
        <v>0</v>
      </c>
    </row>
    <row r="256" spans="9:19">
      <c r="I256" s="210" t="s">
        <v>5242</v>
      </c>
      <c r="J256" s="111">
        <f t="shared" si="30"/>
        <v>40761008</v>
      </c>
      <c r="K256" s="210" t="s">
        <v>5243</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5245</v>
      </c>
      <c r="L257" s="82">
        <v>1204397532</v>
      </c>
      <c r="M257" s="82">
        <v>768290500</v>
      </c>
      <c r="N257" s="216">
        <f t="shared" si="31"/>
        <v>1972688032</v>
      </c>
      <c r="O257" s="111">
        <f t="shared" si="32"/>
        <v>4065339</v>
      </c>
      <c r="P257" s="111">
        <f t="shared" si="33"/>
        <v>12754938</v>
      </c>
      <c r="Q257" s="225">
        <v>0</v>
      </c>
    </row>
    <row r="258" spans="9:19">
      <c r="I258" s="187" t="s">
        <v>5248</v>
      </c>
      <c r="J258" s="186">
        <f>L258-L257+488602</f>
        <v>5275127</v>
      </c>
      <c r="K258" s="187" t="s">
        <v>5246</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5247</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5250</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5255</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5261</v>
      </c>
      <c r="L262" s="82">
        <v>1153433035</v>
      </c>
      <c r="M262" s="82">
        <v>736240181</v>
      </c>
      <c r="N262" s="111">
        <f t="shared" si="31"/>
        <v>1889673216</v>
      </c>
      <c r="O262" s="111">
        <f t="shared" si="32"/>
        <v>-19759819</v>
      </c>
      <c r="P262" s="111">
        <f t="shared" si="33"/>
        <v>-46326784</v>
      </c>
      <c r="Q262" s="225">
        <v>0</v>
      </c>
    </row>
    <row r="263" spans="9:19">
      <c r="I263" s="213" t="s">
        <v>5263</v>
      </c>
      <c r="J263" s="240">
        <f>L263-L262-360000</f>
        <v>-33793035</v>
      </c>
      <c r="K263" s="213" t="s">
        <v>5262</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5264</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5267</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5268</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5269</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5274</v>
      </c>
      <c r="J268" s="186">
        <f>L268-L267+3600000</f>
        <v>6784521</v>
      </c>
      <c r="K268" s="187" t="s">
        <v>5270</v>
      </c>
      <c r="L268" s="233">
        <v>1227517149</v>
      </c>
      <c r="M268" s="233">
        <v>781946723</v>
      </c>
      <c r="N268" s="216">
        <f>L268+M268</f>
        <v>2009463872</v>
      </c>
      <c r="O268" s="186">
        <f t="shared" si="36"/>
        <v>648802</v>
      </c>
      <c r="P268" s="186">
        <f>N268-N267+3600000</f>
        <v>7433323</v>
      </c>
      <c r="Q268" s="225">
        <v>-3600000</v>
      </c>
    </row>
    <row r="269" spans="9:19">
      <c r="I269" s="213" t="s">
        <v>5276</v>
      </c>
      <c r="J269" s="240">
        <f t="shared" si="34"/>
        <v>8668842</v>
      </c>
      <c r="K269" s="213" t="s">
        <v>5273</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5281</v>
      </c>
      <c r="L270" s="82">
        <v>1295586377</v>
      </c>
      <c r="M270" s="82">
        <v>830602955</v>
      </c>
      <c r="N270" s="216">
        <f t="shared" si="35"/>
        <v>2126189332</v>
      </c>
      <c r="O270" s="111">
        <f t="shared" si="36"/>
        <v>39667491</v>
      </c>
      <c r="P270" s="111">
        <f>N270-N269</f>
        <v>99067877</v>
      </c>
      <c r="Q270" s="225">
        <v>0</v>
      </c>
    </row>
    <row r="271" spans="9:19">
      <c r="I271" s="187" t="s">
        <v>5283</v>
      </c>
      <c r="J271" s="186">
        <f>L271-L270+1000000</f>
        <v>21062163</v>
      </c>
      <c r="K271" s="187" t="s">
        <v>5282</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5285</v>
      </c>
      <c r="L272" s="82">
        <v>1290000000</v>
      </c>
      <c r="M272" s="82">
        <v>830000000</v>
      </c>
      <c r="N272" s="111">
        <f t="shared" si="35"/>
        <v>2120000000</v>
      </c>
      <c r="O272" s="111">
        <f t="shared" si="36"/>
        <v>-7889920</v>
      </c>
      <c r="P272" s="111">
        <f>N272-N271</f>
        <v>-33538460</v>
      </c>
    </row>
    <row r="273" spans="4:23">
      <c r="I273" s="210"/>
      <c r="J273" s="111">
        <f t="shared" si="34"/>
        <v>5173477</v>
      </c>
      <c r="K273" s="210" t="s">
        <v>5289</v>
      </c>
      <c r="L273" s="82">
        <v>1295173477</v>
      </c>
      <c r="M273" s="82">
        <v>832119130</v>
      </c>
      <c r="N273" s="111">
        <f t="shared" si="35"/>
        <v>2127292607</v>
      </c>
      <c r="O273" s="111">
        <f t="shared" si="36"/>
        <v>2119130</v>
      </c>
      <c r="P273" s="111">
        <f>N273-N272</f>
        <v>7292607</v>
      </c>
    </row>
    <row r="274" spans="4:23">
      <c r="D274" t="s">
        <v>25</v>
      </c>
      <c r="I274" s="213" t="s">
        <v>5263</v>
      </c>
      <c r="J274" s="240">
        <f>L274-L273-360000</f>
        <v>-3379409</v>
      </c>
      <c r="K274" s="213" t="s">
        <v>5290</v>
      </c>
      <c r="L274" s="241">
        <v>1292154068</v>
      </c>
      <c r="M274" s="241">
        <v>833033746</v>
      </c>
      <c r="N274" s="240">
        <f t="shared" si="35"/>
        <v>2125187814</v>
      </c>
      <c r="O274" s="240">
        <f t="shared" si="36"/>
        <v>914616</v>
      </c>
      <c r="P274" s="240">
        <f>N274-N273-360000</f>
        <v>-2464793</v>
      </c>
      <c r="Q274" s="225">
        <v>360000</v>
      </c>
    </row>
    <row r="275" spans="4:23">
      <c r="I275" s="213" t="s">
        <v>5294</v>
      </c>
      <c r="J275" s="240">
        <f>L275-L274-2000000</f>
        <v>-22946012</v>
      </c>
      <c r="K275" s="213" t="s">
        <v>5293</v>
      </c>
      <c r="L275" s="241">
        <v>1271208056</v>
      </c>
      <c r="M275" s="241">
        <v>825161254</v>
      </c>
      <c r="N275" s="240">
        <f t="shared" si="35"/>
        <v>2096369310</v>
      </c>
      <c r="O275" s="240">
        <f t="shared" si="36"/>
        <v>-7872492</v>
      </c>
      <c r="P275" s="240">
        <f>N275-N274-2000000</f>
        <v>-30818504</v>
      </c>
      <c r="Q275" s="225">
        <v>2000000</v>
      </c>
    </row>
    <row r="276" spans="4:23">
      <c r="I276" s="213" t="s">
        <v>5298</v>
      </c>
      <c r="J276" s="240">
        <f>L276-L275-15300000</f>
        <v>32802006</v>
      </c>
      <c r="K276" s="213" t="s">
        <v>5296</v>
      </c>
      <c r="L276" s="241">
        <v>1319310062</v>
      </c>
      <c r="M276" s="241">
        <v>846171439</v>
      </c>
      <c r="N276" s="240">
        <f t="shared" si="35"/>
        <v>2165481501</v>
      </c>
      <c r="O276" s="240">
        <f>M276-M275-200000</f>
        <v>20810185</v>
      </c>
      <c r="P276" s="240">
        <f>N276-N275-15500000</f>
        <v>53612191</v>
      </c>
      <c r="Q276" s="225">
        <v>15500000</v>
      </c>
    </row>
    <row r="277" spans="4:23">
      <c r="I277" s="213" t="s">
        <v>5301</v>
      </c>
      <c r="J277" s="240">
        <f>L277-L276-3000000</f>
        <v>12429762</v>
      </c>
      <c r="K277" s="213" t="s">
        <v>5300</v>
      </c>
      <c r="L277" s="241">
        <v>1334739824</v>
      </c>
      <c r="M277" s="241">
        <v>848815156</v>
      </c>
      <c r="N277" s="216">
        <f t="shared" si="35"/>
        <v>2183554980</v>
      </c>
      <c r="O277" s="240">
        <f>M277-M276-50000</f>
        <v>2593717</v>
      </c>
      <c r="P277" s="240">
        <f>N277-N276-3050000</f>
        <v>15023479</v>
      </c>
      <c r="Q277" s="225">
        <v>3050000</v>
      </c>
    </row>
    <row r="278" spans="4:23">
      <c r="I278" s="213" t="s">
        <v>5305</v>
      </c>
      <c r="J278" s="240">
        <f>L278-L277-1680000</f>
        <v>-15903030</v>
      </c>
      <c r="K278" s="213" t="s">
        <v>5303</v>
      </c>
      <c r="L278" s="241">
        <v>1320516794</v>
      </c>
      <c r="M278" s="241">
        <v>834312363</v>
      </c>
      <c r="N278" s="240">
        <f t="shared" si="35"/>
        <v>2154829157</v>
      </c>
      <c r="O278" s="240">
        <f>M278-M277-100000</f>
        <v>-14602793</v>
      </c>
      <c r="P278" s="240">
        <f>N278-N277-1600000</f>
        <v>-30325823</v>
      </c>
      <c r="Q278" s="225">
        <v>1780000</v>
      </c>
      <c r="S278" t="s">
        <v>25</v>
      </c>
    </row>
    <row r="279" spans="4:23">
      <c r="I279" s="213" t="s">
        <v>5307</v>
      </c>
      <c r="J279" s="240">
        <f>L279-L278-30000000</f>
        <v>3387493</v>
      </c>
      <c r="K279" s="213" t="s">
        <v>5306</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5313</v>
      </c>
      <c r="L281" s="82">
        <v>1379735558</v>
      </c>
      <c r="M281" s="82">
        <v>848557580</v>
      </c>
      <c r="N281" s="216">
        <f t="shared" si="35"/>
        <v>2228293138</v>
      </c>
      <c r="O281" s="111">
        <f t="shared" si="36"/>
        <v>4543265</v>
      </c>
      <c r="P281" s="111">
        <f>N281-N280</f>
        <v>8875537</v>
      </c>
      <c r="Q281" s="225">
        <v>0</v>
      </c>
    </row>
    <row r="282" spans="4:23">
      <c r="I282" s="210"/>
      <c r="J282" s="111">
        <f t="shared" ref="J282:J419" si="37">L282-L281</f>
        <v>29783485</v>
      </c>
      <c r="K282" s="210" t="s">
        <v>5314</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5317</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5320</v>
      </c>
      <c r="L284" s="82">
        <v>1473439379</v>
      </c>
      <c r="M284" s="82">
        <v>906774030</v>
      </c>
      <c r="N284" s="216">
        <f t="shared" si="38"/>
        <v>2380213409</v>
      </c>
      <c r="O284" s="111">
        <f t="shared" si="39"/>
        <v>14380845</v>
      </c>
      <c r="P284" s="111">
        <f t="shared" si="40"/>
        <v>32061881</v>
      </c>
      <c r="Q284" s="225">
        <v>0</v>
      </c>
    </row>
    <row r="285" spans="4:23">
      <c r="I285" s="187" t="s">
        <v>5323</v>
      </c>
      <c r="J285" s="186">
        <f t="shared" si="37"/>
        <v>4331396</v>
      </c>
      <c r="K285" s="187" t="s">
        <v>5321</v>
      </c>
      <c r="L285" s="233">
        <v>1477770775</v>
      </c>
      <c r="M285" s="233">
        <v>915475851</v>
      </c>
      <c r="N285" s="216">
        <f t="shared" si="38"/>
        <v>2393246626</v>
      </c>
      <c r="O285" s="186">
        <f>M285-M284+550000</f>
        <v>9251821</v>
      </c>
      <c r="P285" s="186">
        <f>N285-N284+550000</f>
        <v>13583217</v>
      </c>
      <c r="Q285" s="225">
        <v>-550000</v>
      </c>
    </row>
    <row r="286" spans="4:23">
      <c r="I286" s="187" t="s">
        <v>5327</v>
      </c>
      <c r="J286" s="186">
        <f t="shared" si="37"/>
        <v>39081054</v>
      </c>
      <c r="K286" s="187" t="s">
        <v>5325</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5326</v>
      </c>
      <c r="L287" s="82">
        <v>1560436105</v>
      </c>
      <c r="M287" s="82">
        <v>940791901</v>
      </c>
      <c r="N287" s="216">
        <f t="shared" si="38"/>
        <v>2501228006</v>
      </c>
      <c r="O287" s="111">
        <f t="shared" si="39"/>
        <v>35665189</v>
      </c>
      <c r="P287" s="111">
        <f t="shared" si="40"/>
        <v>79249465</v>
      </c>
      <c r="Q287" s="225">
        <v>0</v>
      </c>
    </row>
    <row r="288" spans="4:23">
      <c r="I288" s="187" t="s">
        <v>5337</v>
      </c>
      <c r="J288" s="186">
        <f t="shared" si="37"/>
        <v>83455296</v>
      </c>
      <c r="K288" s="187" t="s">
        <v>5336</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5339</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5344</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5350</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5359</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5382</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5381</v>
      </c>
      <c r="L294" s="82">
        <v>1775456973</v>
      </c>
      <c r="M294" s="82">
        <v>1056375788</v>
      </c>
      <c r="N294" s="216">
        <f t="shared" si="38"/>
        <v>2831832761</v>
      </c>
      <c r="O294" s="111">
        <f t="shared" si="39"/>
        <v>11375788</v>
      </c>
      <c r="P294" s="111">
        <f t="shared" si="40"/>
        <v>26832761</v>
      </c>
      <c r="Q294" s="225">
        <v>0</v>
      </c>
    </row>
    <row r="295" spans="9:21">
      <c r="I295" s="210" t="s">
        <v>5391</v>
      </c>
      <c r="J295" s="111">
        <f>L295-L294-3000000</f>
        <v>19422686</v>
      </c>
      <c r="K295" s="210" t="s">
        <v>5385</v>
      </c>
      <c r="L295" s="82">
        <v>1797879659</v>
      </c>
      <c r="M295" s="82">
        <v>1054864328</v>
      </c>
      <c r="N295" s="216">
        <f t="shared" si="38"/>
        <v>2852743987</v>
      </c>
      <c r="O295" s="111">
        <f t="shared" si="39"/>
        <v>-1511460</v>
      </c>
      <c r="P295" s="111">
        <f>N295-N294-3000000</f>
        <v>17911226</v>
      </c>
      <c r="Q295" s="225">
        <v>3000000</v>
      </c>
    </row>
    <row r="296" spans="9:21">
      <c r="I296" s="213" t="s">
        <v>5392</v>
      </c>
      <c r="J296" s="240">
        <f>L296-L295-7000000</f>
        <v>-47124934</v>
      </c>
      <c r="K296" s="213" t="s">
        <v>5386</v>
      </c>
      <c r="L296" s="241">
        <v>1757754725</v>
      </c>
      <c r="M296" s="241">
        <v>1037677810</v>
      </c>
      <c r="N296" s="240">
        <f t="shared" si="38"/>
        <v>2795432535</v>
      </c>
      <c r="O296" s="240">
        <f>M296-M295+4190000</f>
        <v>-12996518</v>
      </c>
      <c r="P296" s="240">
        <f>N296-N295+4190000-7000000</f>
        <v>-60121452</v>
      </c>
      <c r="Q296" s="225">
        <v>2810000</v>
      </c>
    </row>
    <row r="297" spans="9:21">
      <c r="I297" s="213" t="s">
        <v>5401</v>
      </c>
      <c r="J297" s="240">
        <f t="shared" si="37"/>
        <v>-53501669</v>
      </c>
      <c r="K297" s="213" t="s">
        <v>5394</v>
      </c>
      <c r="L297" s="241">
        <v>1704253056</v>
      </c>
      <c r="M297" s="241">
        <v>973497834</v>
      </c>
      <c r="N297" s="240">
        <f t="shared" si="38"/>
        <v>2677750890</v>
      </c>
      <c r="O297" s="240">
        <f>M297-M296+26000000</f>
        <v>-38179976</v>
      </c>
      <c r="P297" s="240">
        <f>N297-N296+26000000</f>
        <v>-91681645</v>
      </c>
      <c r="Q297" s="225">
        <v>-26000000</v>
      </c>
    </row>
    <row r="298" spans="9:21">
      <c r="I298" s="213" t="s">
        <v>5403</v>
      </c>
      <c r="J298" s="240">
        <f>L298-L297-8800000</f>
        <v>26691445</v>
      </c>
      <c r="K298" s="213" t="s">
        <v>5399</v>
      </c>
      <c r="L298" s="241">
        <v>1739744501</v>
      </c>
      <c r="M298" s="241">
        <v>914540569</v>
      </c>
      <c r="N298" s="240">
        <f t="shared" si="38"/>
        <v>2654285070</v>
      </c>
      <c r="O298" s="240">
        <f>M298-M297+81800000</f>
        <v>22842735</v>
      </c>
      <c r="P298" s="240">
        <f>N298-N297+73000000</f>
        <v>49534180</v>
      </c>
      <c r="Q298" s="225">
        <v>-73000000</v>
      </c>
    </row>
    <row r="299" spans="9:21">
      <c r="I299" s="213" t="s">
        <v>5407</v>
      </c>
      <c r="J299" s="240">
        <f t="shared" si="37"/>
        <v>32696702</v>
      </c>
      <c r="K299" s="213" t="s">
        <v>5400</v>
      </c>
      <c r="L299" s="241">
        <v>1772441203</v>
      </c>
      <c r="M299" s="241">
        <v>900025831</v>
      </c>
      <c r="N299" s="240">
        <f t="shared" si="38"/>
        <v>2672467034</v>
      </c>
      <c r="O299" s="240">
        <f>M299-M298+34000000</f>
        <v>19485262</v>
      </c>
      <c r="P299" s="240">
        <f>N299-N298+34000000</f>
        <v>52181964</v>
      </c>
      <c r="Q299" s="225">
        <v>-34000000</v>
      </c>
    </row>
    <row r="300" spans="9:21">
      <c r="I300" s="187" t="s">
        <v>5410</v>
      </c>
      <c r="J300" s="186">
        <f>L300-L299-40000000</f>
        <v>74215198</v>
      </c>
      <c r="K300" s="187" t="s">
        <v>5405</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5199</v>
      </c>
      <c r="J301" s="186">
        <f t="shared" si="37"/>
        <v>39912599</v>
      </c>
      <c r="K301" s="187" t="s">
        <v>5406</v>
      </c>
      <c r="L301" s="233">
        <v>1926569000</v>
      </c>
      <c r="M301" s="233">
        <v>959442000</v>
      </c>
      <c r="N301" s="216">
        <f t="shared" si="38"/>
        <v>2886011000</v>
      </c>
      <c r="O301" s="186">
        <f>M301-M300-300000</f>
        <v>21646377</v>
      </c>
      <c r="P301" s="186">
        <f>N301-N300-300000</f>
        <v>61558976</v>
      </c>
      <c r="Q301" s="225">
        <v>300000</v>
      </c>
    </row>
    <row r="302" spans="9:21">
      <c r="I302" s="187" t="s">
        <v>5416</v>
      </c>
      <c r="J302" s="186">
        <f t="shared" si="37"/>
        <v>-55865388</v>
      </c>
      <c r="K302" s="187" t="s">
        <v>5415</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5418</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5420</v>
      </c>
      <c r="L304" s="82">
        <v>1773000000</v>
      </c>
      <c r="M304" s="82">
        <v>879000000</v>
      </c>
      <c r="N304" s="111">
        <f t="shared" si="38"/>
        <v>2652000000</v>
      </c>
      <c r="O304" s="111">
        <f t="shared" si="39"/>
        <v>217170</v>
      </c>
      <c r="P304" s="111">
        <f t="shared" si="40"/>
        <v>-212651</v>
      </c>
      <c r="Q304" s="225">
        <v>0</v>
      </c>
    </row>
    <row r="305" spans="9:17">
      <c r="I305" s="210" t="s">
        <v>5422</v>
      </c>
      <c r="J305" s="111">
        <f>L305-L304-400000</f>
        <v>-400000</v>
      </c>
      <c r="K305" s="210" t="s">
        <v>5421</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5428</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5441</v>
      </c>
      <c r="L307" s="82">
        <v>1627606378</v>
      </c>
      <c r="M307" s="82">
        <v>802901457</v>
      </c>
      <c r="N307" s="111">
        <f t="shared" si="38"/>
        <v>2430507835</v>
      </c>
      <c r="O307" s="111">
        <f t="shared" si="39"/>
        <v>21798585</v>
      </c>
      <c r="P307" s="111">
        <f t="shared" si="40"/>
        <v>63329771</v>
      </c>
      <c r="Q307" s="225">
        <v>0</v>
      </c>
    </row>
    <row r="308" spans="9:17">
      <c r="I308" s="210" t="s">
        <v>5444</v>
      </c>
      <c r="J308" s="111">
        <f>L308-L307+968000</f>
        <v>30858637</v>
      </c>
      <c r="K308" s="210" t="s">
        <v>5443</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5446</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5451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5452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5453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5456</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5458</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5460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5462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5463</v>
      </c>
      <c r="L318" s="82">
        <v>2260584534</v>
      </c>
      <c r="M318" s="82">
        <v>1120314374</v>
      </c>
      <c r="N318" s="216">
        <f t="shared" si="41"/>
        <v>3380898908</v>
      </c>
      <c r="O318" s="111">
        <f t="shared" si="42"/>
        <v>67266920</v>
      </c>
      <c r="P318" s="111">
        <f t="shared" si="43"/>
        <v>208542979</v>
      </c>
      <c r="Q318" s="225">
        <v>0</v>
      </c>
    </row>
    <row r="319" spans="9:17">
      <c r="I319" s="210" t="s">
        <v>5467</v>
      </c>
      <c r="J319" s="111">
        <f>L319-L318-3006000</f>
        <v>32865631</v>
      </c>
      <c r="K319" s="210" t="s">
        <v>5466</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5474</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5478</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5480</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5481</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5482</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5490</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5492</v>
      </c>
      <c r="L326" s="82">
        <v>2819979138</v>
      </c>
      <c r="M326" s="82">
        <v>1401539279</v>
      </c>
      <c r="N326" s="216">
        <f t="shared" si="41"/>
        <v>4221518417</v>
      </c>
      <c r="O326" s="111">
        <f t="shared" si="42"/>
        <v>13084171</v>
      </c>
      <c r="P326" s="111">
        <f t="shared" si="43"/>
        <v>39080100</v>
      </c>
      <c r="Q326" s="225">
        <v>0</v>
      </c>
    </row>
    <row r="327" spans="9:22">
      <c r="I327" s="210" t="s">
        <v>5495</v>
      </c>
      <c r="J327" s="111">
        <f>L327-L326+130382924</f>
        <v>36685298</v>
      </c>
      <c r="K327" s="210" t="s">
        <v>5494</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5493</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5497</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5498</v>
      </c>
      <c r="L330" s="82">
        <v>3427431734</v>
      </c>
      <c r="M330" s="82">
        <v>1705312175</v>
      </c>
      <c r="N330" s="216">
        <f t="shared" ref="N330:N419"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5502</v>
      </c>
      <c r="J332" s="186">
        <f>L332-L331-125000000</f>
        <v>154015802</v>
      </c>
      <c r="K332" s="187" t="s">
        <v>5347</v>
      </c>
      <c r="L332" s="233">
        <v>3877711355</v>
      </c>
      <c r="M332" s="233">
        <v>1868422520</v>
      </c>
      <c r="N332" s="216">
        <f t="shared" si="44"/>
        <v>5746133875</v>
      </c>
      <c r="O332" s="186">
        <f t="shared" si="45"/>
        <v>77900986</v>
      </c>
      <c r="P332" s="186">
        <f>N332-N331-125000000</f>
        <v>231916788</v>
      </c>
      <c r="Q332" s="225">
        <v>125000000</v>
      </c>
    </row>
    <row r="333" spans="9:22">
      <c r="I333" s="187" t="s">
        <v>5503</v>
      </c>
      <c r="J333" s="186">
        <f>L333-L332-7200000</f>
        <v>-108573535</v>
      </c>
      <c r="K333" s="187" t="s">
        <v>5499</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5508</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5510</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5511</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5515</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5517</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5519</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5520</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5521</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5522</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5523</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5525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5545</v>
      </c>
      <c r="L346" s="82">
        <v>3220000000</v>
      </c>
      <c r="M346" s="82">
        <v>1580000000</v>
      </c>
      <c r="N346" s="111">
        <f t="shared" si="44"/>
        <v>4800000000</v>
      </c>
      <c r="O346" s="111">
        <f t="shared" si="45"/>
        <v>16994429</v>
      </c>
      <c r="P346" s="111">
        <f t="shared" si="46"/>
        <v>32497144</v>
      </c>
      <c r="Q346" s="225">
        <v>0</v>
      </c>
    </row>
    <row r="347" spans="9:19">
      <c r="I347" s="187" t="s">
        <v>5561</v>
      </c>
      <c r="J347" s="186">
        <f>L347-L346-50000000</f>
        <v>30000000</v>
      </c>
      <c r="K347" s="187" t="s">
        <v>5546</v>
      </c>
      <c r="L347" s="233">
        <v>3300000000</v>
      </c>
      <c r="M347" s="233">
        <v>1600000000</v>
      </c>
      <c r="N347" s="186">
        <f t="shared" si="44"/>
        <v>4900000000</v>
      </c>
      <c r="O347" s="186">
        <f t="shared" si="45"/>
        <v>20000000</v>
      </c>
      <c r="P347" s="186">
        <f>N347-N346-50000000</f>
        <v>50000000</v>
      </c>
      <c r="Q347" s="225">
        <v>50000000</v>
      </c>
    </row>
    <row r="348" spans="9:19">
      <c r="I348" s="187" t="s">
        <v>5569</v>
      </c>
      <c r="J348" s="186">
        <f t="shared" si="37"/>
        <v>79324490</v>
      </c>
      <c r="K348" s="187" t="s">
        <v>5547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5574</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5575</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5576</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5578</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5579</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5581</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5582</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5583</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5584</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5585</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5586</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5587</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5590</v>
      </c>
      <c r="L361" s="82">
        <v>4730000000</v>
      </c>
      <c r="M361" s="82">
        <v>2276000000</v>
      </c>
      <c r="N361" s="288">
        <f t="shared" si="44"/>
        <v>7006000000</v>
      </c>
      <c r="O361" s="111">
        <f t="shared" si="45"/>
        <v>9599335.7503376007</v>
      </c>
      <c r="P361" s="111">
        <f t="shared" si="46"/>
        <v>37003184.750337601</v>
      </c>
      <c r="Q361" s="225">
        <v>0</v>
      </c>
    </row>
    <row r="362" spans="9:21">
      <c r="I362" s="213" t="s">
        <v>5593</v>
      </c>
      <c r="J362" s="240">
        <f>L362-L361+58196600</f>
        <v>79816926</v>
      </c>
      <c r="K362" s="213" t="s">
        <v>5591</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5598</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5600</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5602</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5607</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5611</v>
      </c>
      <c r="L367" s="82">
        <v>5620000000</v>
      </c>
      <c r="M367" s="82">
        <v>2670000000</v>
      </c>
      <c r="N367" s="111">
        <f t="shared" si="44"/>
        <v>8290000000</v>
      </c>
      <c r="O367" s="111">
        <f t="shared" si="47"/>
        <v>-19938073</v>
      </c>
      <c r="P367" s="111">
        <f t="shared" si="48"/>
        <v>-63769642</v>
      </c>
      <c r="S367" t="s">
        <v>25</v>
      </c>
    </row>
    <row r="368" spans="9:21">
      <c r="I368" s="187" t="s">
        <v>5614</v>
      </c>
      <c r="J368" s="186">
        <f t="shared" si="37"/>
        <v>-39749235</v>
      </c>
      <c r="K368" s="187" t="s">
        <v>5613</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5620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5621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5622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5623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5626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5627</v>
      </c>
      <c r="L374" s="82">
        <v>6812667529</v>
      </c>
      <c r="M374" s="82">
        <v>3304835300</v>
      </c>
      <c r="N374" s="288">
        <f t="shared" si="44"/>
        <v>10117502829</v>
      </c>
      <c r="O374" s="111">
        <f t="shared" ref="O374:O419" si="49">M374-M373</f>
        <v>155629247</v>
      </c>
      <c r="P374" s="111">
        <f t="shared" ref="P374:P419" si="50">N374-N373</f>
        <v>425296367</v>
      </c>
      <c r="Q374" s="225">
        <v>0</v>
      </c>
      <c r="T374" t="s">
        <v>25</v>
      </c>
    </row>
    <row r="375" spans="9:20">
      <c r="I375" s="210"/>
      <c r="J375" s="111">
        <f t="shared" si="37"/>
        <v>-331071826</v>
      </c>
      <c r="K375" s="210" t="s">
        <v>5632</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5635</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5647</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5654</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5658</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5666</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5670</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5671</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5675</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5680</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5683</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5685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5688</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5693</v>
      </c>
      <c r="L389" s="82">
        <v>6126666000</v>
      </c>
      <c r="M389" s="82">
        <v>3341157354</v>
      </c>
      <c r="N389" s="111">
        <f t="shared" si="44"/>
        <v>9467823354</v>
      </c>
      <c r="O389" s="111">
        <f t="shared" si="49"/>
        <v>26757796</v>
      </c>
      <c r="P389" s="111">
        <f t="shared" si="50"/>
        <v>-44095692</v>
      </c>
      <c r="Q389" s="225">
        <v>0</v>
      </c>
    </row>
    <row r="390" spans="9:21">
      <c r="I390" s="271" t="s">
        <v>5704</v>
      </c>
      <c r="J390" s="92">
        <f>L390-L389+98469400</f>
        <v>113425690</v>
      </c>
      <c r="K390" s="271" t="s">
        <v>5674</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5672</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5711</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5715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5720</v>
      </c>
      <c r="L394" s="82">
        <v>6592406321</v>
      </c>
      <c r="M394" s="82">
        <v>3809828043</v>
      </c>
      <c r="N394" s="35">
        <f t="shared" si="44"/>
        <v>10402234364</v>
      </c>
      <c r="O394" s="111">
        <f t="shared" si="49"/>
        <v>72081083</v>
      </c>
      <c r="P394" s="111">
        <f t="shared" si="50"/>
        <v>36992432</v>
      </c>
      <c r="Q394" s="225">
        <v>0</v>
      </c>
    </row>
    <row r="395" spans="9:21">
      <c r="I395" s="210"/>
      <c r="J395" s="111">
        <f t="shared" si="37"/>
        <v>-6592406321</v>
      </c>
      <c r="K395" s="210"/>
      <c r="L395" s="82"/>
      <c r="M395" s="82"/>
      <c r="N395" s="111">
        <f t="shared" si="44"/>
        <v>0</v>
      </c>
      <c r="O395" s="111">
        <f t="shared" si="49"/>
        <v>-3809828043</v>
      </c>
      <c r="P395" s="111">
        <f t="shared" si="50"/>
        <v>-10402234364</v>
      </c>
    </row>
    <row r="396" spans="9:21">
      <c r="I396" s="210"/>
      <c r="J396" s="111">
        <f t="shared" si="37"/>
        <v>0</v>
      </c>
      <c r="K396" s="210"/>
      <c r="L396" s="82"/>
      <c r="M396" s="82"/>
      <c r="N396" s="111">
        <f t="shared" si="44"/>
        <v>0</v>
      </c>
      <c r="O396" s="111">
        <f t="shared" si="49"/>
        <v>0</v>
      </c>
      <c r="P396" s="111">
        <f t="shared" si="50"/>
        <v>0</v>
      </c>
    </row>
    <row r="397" spans="9:21">
      <c r="I397" s="210"/>
      <c r="J397" s="111">
        <f t="shared" si="37"/>
        <v>0</v>
      </c>
      <c r="K397" s="210"/>
      <c r="L397" s="82"/>
      <c r="M397" s="82"/>
      <c r="N397" s="111">
        <f t="shared" si="44"/>
        <v>0</v>
      </c>
      <c r="O397" s="111">
        <f t="shared" si="49"/>
        <v>0</v>
      </c>
      <c r="P397" s="111">
        <f t="shared" si="50"/>
        <v>0</v>
      </c>
    </row>
    <row r="398" spans="9:21">
      <c r="I398" s="210"/>
      <c r="J398" s="111">
        <f t="shared" si="37"/>
        <v>0</v>
      </c>
      <c r="K398" s="210"/>
      <c r="L398" s="82"/>
      <c r="M398" s="82"/>
      <c r="N398" s="111">
        <f t="shared" si="44"/>
        <v>0</v>
      </c>
      <c r="O398" s="111">
        <f t="shared" si="49"/>
        <v>0</v>
      </c>
      <c r="P398" s="111">
        <f t="shared" si="50"/>
        <v>0</v>
      </c>
    </row>
    <row r="399" spans="9:21">
      <c r="I399" s="210"/>
      <c r="J399" s="111">
        <f t="shared" si="37"/>
        <v>0</v>
      </c>
      <c r="K399" s="210"/>
      <c r="L399" s="82"/>
      <c r="M399" s="82"/>
      <c r="N399" s="111">
        <f t="shared" si="44"/>
        <v>0</v>
      </c>
      <c r="O399" s="111">
        <f t="shared" si="49"/>
        <v>0</v>
      </c>
      <c r="P399" s="111">
        <f t="shared" si="50"/>
        <v>0</v>
      </c>
    </row>
    <row r="400" spans="9:21">
      <c r="I400" s="210"/>
      <c r="J400" s="111">
        <f t="shared" si="37"/>
        <v>0</v>
      </c>
      <c r="K400" s="210"/>
      <c r="L400" s="82"/>
      <c r="M400" s="82"/>
      <c r="N400" s="111">
        <f t="shared" si="44"/>
        <v>0</v>
      </c>
      <c r="O400" s="111">
        <f t="shared" si="49"/>
        <v>0</v>
      </c>
      <c r="P400" s="111">
        <f t="shared" si="50"/>
        <v>0</v>
      </c>
      <c r="U400" t="s">
        <v>25</v>
      </c>
    </row>
    <row r="401" spans="9:16">
      <c r="I401" s="210"/>
      <c r="J401" s="111">
        <f t="shared" si="37"/>
        <v>0</v>
      </c>
      <c r="K401" s="210"/>
      <c r="L401" s="82"/>
      <c r="M401" s="82"/>
      <c r="N401" s="111">
        <f t="shared" si="44"/>
        <v>0</v>
      </c>
      <c r="O401" s="111">
        <f t="shared" si="49"/>
        <v>0</v>
      </c>
      <c r="P401" s="111">
        <f t="shared" si="50"/>
        <v>0</v>
      </c>
    </row>
    <row r="402" spans="9:16">
      <c r="I402" s="210"/>
      <c r="J402" s="111">
        <f t="shared" si="37"/>
        <v>0</v>
      </c>
      <c r="K402" s="210"/>
      <c r="L402" s="82"/>
      <c r="M402" s="82"/>
      <c r="N402" s="111">
        <f t="shared" si="44"/>
        <v>0</v>
      </c>
      <c r="O402" s="111">
        <f t="shared" si="49"/>
        <v>0</v>
      </c>
      <c r="P402" s="111">
        <f t="shared" si="50"/>
        <v>0</v>
      </c>
    </row>
    <row r="403" spans="9:16">
      <c r="I403" s="210"/>
      <c r="J403" s="111">
        <f t="shared" si="37"/>
        <v>0</v>
      </c>
      <c r="K403" s="210"/>
      <c r="L403" s="82"/>
      <c r="M403" s="82"/>
      <c r="N403" s="111">
        <f t="shared" si="44"/>
        <v>0</v>
      </c>
      <c r="O403" s="111">
        <f t="shared" si="49"/>
        <v>0</v>
      </c>
      <c r="P403" s="111">
        <f t="shared" si="50"/>
        <v>0</v>
      </c>
    </row>
    <row r="404" spans="9:16">
      <c r="I404" s="210"/>
      <c r="J404" s="111">
        <f t="shared" si="37"/>
        <v>0</v>
      </c>
      <c r="K404" s="210"/>
      <c r="L404" s="82"/>
      <c r="M404" s="82"/>
      <c r="N404" s="111">
        <f t="shared" si="44"/>
        <v>0</v>
      </c>
      <c r="O404" s="111">
        <f t="shared" si="49"/>
        <v>0</v>
      </c>
      <c r="P404" s="111">
        <f t="shared" si="50"/>
        <v>0</v>
      </c>
    </row>
    <row r="405" spans="9:16">
      <c r="I405" s="210"/>
      <c r="J405" s="111">
        <f t="shared" si="37"/>
        <v>0</v>
      </c>
      <c r="K405" s="210"/>
      <c r="L405" s="82"/>
      <c r="M405" s="82"/>
      <c r="N405" s="111">
        <f t="shared" si="44"/>
        <v>0</v>
      </c>
      <c r="O405" s="111">
        <f t="shared" si="49"/>
        <v>0</v>
      </c>
      <c r="P405" s="111">
        <f t="shared" si="50"/>
        <v>0</v>
      </c>
    </row>
    <row r="406" spans="9:16">
      <c r="I406" s="210"/>
      <c r="J406" s="111">
        <f t="shared" si="37"/>
        <v>0</v>
      </c>
      <c r="K406" s="210"/>
      <c r="L406" s="82"/>
      <c r="M406" s="82"/>
      <c r="N406" s="111">
        <f t="shared" si="44"/>
        <v>0</v>
      </c>
      <c r="O406" s="111">
        <f t="shared" si="49"/>
        <v>0</v>
      </c>
      <c r="P406" s="111">
        <f t="shared" si="50"/>
        <v>0</v>
      </c>
    </row>
    <row r="407" spans="9:16">
      <c r="I407" s="210"/>
      <c r="J407" s="111">
        <f t="shared" si="37"/>
        <v>0</v>
      </c>
      <c r="K407" s="210"/>
      <c r="L407" s="82"/>
      <c r="M407" s="82"/>
      <c r="N407" s="111">
        <f t="shared" si="44"/>
        <v>0</v>
      </c>
      <c r="O407" s="111">
        <f t="shared" si="49"/>
        <v>0</v>
      </c>
      <c r="P407" s="111">
        <f t="shared" si="50"/>
        <v>0</v>
      </c>
    </row>
    <row r="408" spans="9:16">
      <c r="I408" s="210"/>
      <c r="J408" s="111">
        <f t="shared" si="37"/>
        <v>0</v>
      </c>
      <c r="K408" s="210"/>
      <c r="L408" s="82"/>
      <c r="M408" s="82"/>
      <c r="N408" s="111">
        <f t="shared" si="44"/>
        <v>0</v>
      </c>
      <c r="O408" s="111">
        <f t="shared" si="49"/>
        <v>0</v>
      </c>
      <c r="P408" s="111">
        <f t="shared" si="50"/>
        <v>0</v>
      </c>
    </row>
    <row r="409" spans="9:16">
      <c r="I409" s="210"/>
      <c r="J409" s="111">
        <f t="shared" si="37"/>
        <v>0</v>
      </c>
      <c r="K409" s="210"/>
      <c r="L409" s="82"/>
      <c r="M409" s="82"/>
      <c r="N409" s="111">
        <f t="shared" si="44"/>
        <v>0</v>
      </c>
      <c r="O409" s="111">
        <f t="shared" si="49"/>
        <v>0</v>
      </c>
      <c r="P409" s="111">
        <f t="shared" si="50"/>
        <v>0</v>
      </c>
    </row>
    <row r="410" spans="9:16">
      <c r="I410" s="210"/>
      <c r="J410" s="111">
        <f t="shared" si="37"/>
        <v>0</v>
      </c>
      <c r="K410" s="210"/>
      <c r="L410" s="82"/>
      <c r="M410" s="82"/>
      <c r="N410" s="111">
        <f t="shared" si="44"/>
        <v>0</v>
      </c>
      <c r="O410" s="111">
        <f t="shared" si="49"/>
        <v>0</v>
      </c>
      <c r="P410" s="111">
        <f t="shared" si="50"/>
        <v>0</v>
      </c>
    </row>
    <row r="411" spans="9:16">
      <c r="I411" s="210"/>
      <c r="J411" s="111">
        <f t="shared" si="37"/>
        <v>0</v>
      </c>
      <c r="K411" s="210"/>
      <c r="L411" s="82"/>
      <c r="M411" s="82"/>
      <c r="N411" s="111">
        <f t="shared" si="44"/>
        <v>0</v>
      </c>
      <c r="O411" s="111">
        <f t="shared" si="49"/>
        <v>0</v>
      </c>
      <c r="P411" s="111">
        <f t="shared" si="50"/>
        <v>0</v>
      </c>
    </row>
    <row r="412" spans="9:16">
      <c r="I412" s="210"/>
      <c r="J412" s="111">
        <f t="shared" si="37"/>
        <v>0</v>
      </c>
      <c r="K412" s="210"/>
      <c r="L412" s="82"/>
      <c r="M412" s="82"/>
      <c r="N412" s="111">
        <f t="shared" si="44"/>
        <v>0</v>
      </c>
      <c r="O412" s="111">
        <f t="shared" si="49"/>
        <v>0</v>
      </c>
      <c r="P412" s="111">
        <f t="shared" si="50"/>
        <v>0</v>
      </c>
    </row>
    <row r="413" spans="9:16">
      <c r="I413" s="210"/>
      <c r="J413" s="111">
        <f t="shared" si="37"/>
        <v>0</v>
      </c>
      <c r="K413" s="210"/>
      <c r="L413" s="82"/>
      <c r="M413" s="82"/>
      <c r="N413" s="111">
        <f t="shared" si="44"/>
        <v>0</v>
      </c>
      <c r="O413" s="111">
        <f t="shared" si="49"/>
        <v>0</v>
      </c>
      <c r="P413" s="111">
        <f t="shared" si="50"/>
        <v>0</v>
      </c>
    </row>
    <row r="414" spans="9:16">
      <c r="I414" s="210"/>
      <c r="J414" s="111">
        <f t="shared" si="37"/>
        <v>0</v>
      </c>
      <c r="K414" s="210"/>
      <c r="L414" s="82"/>
      <c r="M414" s="82"/>
      <c r="N414" s="111">
        <f t="shared" si="44"/>
        <v>0</v>
      </c>
      <c r="O414" s="111">
        <f t="shared" si="49"/>
        <v>0</v>
      </c>
      <c r="P414" s="111">
        <f t="shared" si="50"/>
        <v>0</v>
      </c>
    </row>
    <row r="415" spans="9:16">
      <c r="I415" s="210"/>
      <c r="J415" s="111">
        <f t="shared" si="37"/>
        <v>0</v>
      </c>
      <c r="K415" s="210"/>
      <c r="L415" s="82"/>
      <c r="M415" s="82"/>
      <c r="N415" s="111">
        <f t="shared" si="44"/>
        <v>0</v>
      </c>
      <c r="O415" s="111">
        <f t="shared" si="49"/>
        <v>0</v>
      </c>
      <c r="P415" s="111">
        <f t="shared" si="50"/>
        <v>0</v>
      </c>
    </row>
    <row r="416" spans="9:16">
      <c r="I416" s="210"/>
      <c r="J416" s="111">
        <f t="shared" si="37"/>
        <v>0</v>
      </c>
      <c r="K416" s="210"/>
      <c r="L416" s="82"/>
      <c r="M416" s="82"/>
      <c r="N416" s="111">
        <f t="shared" si="44"/>
        <v>0</v>
      </c>
      <c r="O416" s="111">
        <f t="shared" si="49"/>
        <v>0</v>
      </c>
      <c r="P416" s="111">
        <f t="shared" si="50"/>
        <v>0</v>
      </c>
    </row>
    <row r="417" spans="9:16">
      <c r="I417" s="210"/>
      <c r="J417" s="111">
        <f t="shared" si="37"/>
        <v>0</v>
      </c>
      <c r="K417" s="210"/>
      <c r="L417" s="82"/>
      <c r="M417" s="82"/>
      <c r="N417" s="111">
        <f t="shared" si="44"/>
        <v>0</v>
      </c>
      <c r="O417" s="111">
        <f t="shared" si="49"/>
        <v>0</v>
      </c>
      <c r="P417" s="111">
        <f t="shared" si="50"/>
        <v>0</v>
      </c>
    </row>
    <row r="418" spans="9:16">
      <c r="I418" s="210"/>
      <c r="J418" s="111">
        <f t="shared" si="37"/>
        <v>0</v>
      </c>
      <c r="K418" s="210">
        <v>0</v>
      </c>
      <c r="L418" s="82">
        <v>0</v>
      </c>
      <c r="M418" s="82">
        <v>0</v>
      </c>
      <c r="N418" s="111">
        <f t="shared" si="44"/>
        <v>0</v>
      </c>
      <c r="O418" s="111">
        <f t="shared" si="49"/>
        <v>0</v>
      </c>
      <c r="P418" s="111">
        <f t="shared" si="50"/>
        <v>0</v>
      </c>
    </row>
    <row r="419" spans="9:16">
      <c r="I419" s="210"/>
      <c r="J419" s="111">
        <f t="shared" si="37"/>
        <v>0</v>
      </c>
      <c r="K419" s="210">
        <v>0</v>
      </c>
      <c r="L419" s="82">
        <v>0</v>
      </c>
      <c r="M419" s="82">
        <v>0</v>
      </c>
      <c r="N419" s="111">
        <f t="shared" si="44"/>
        <v>0</v>
      </c>
      <c r="O419" s="111">
        <f t="shared" si="49"/>
        <v>0</v>
      </c>
      <c r="P419" s="111">
        <f t="shared" si="50"/>
        <v>0</v>
      </c>
    </row>
    <row r="420" spans="9:16">
      <c r="I420" s="210"/>
      <c r="J420" s="111">
        <f>L420-L419</f>
        <v>0</v>
      </c>
      <c r="K420" s="210"/>
      <c r="L420" s="82"/>
      <c r="M420" s="82"/>
      <c r="N420" s="111">
        <f t="shared" ref="N420" si="51">L420+M420</f>
        <v>0</v>
      </c>
      <c r="O420" s="111">
        <f>M420-M419</f>
        <v>0</v>
      </c>
      <c r="P420" s="111">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5356</v>
      </c>
      <c r="B1">
        <v>0.24</v>
      </c>
    </row>
    <row r="4" spans="1:21">
      <c r="A4" s="97" t="s">
        <v>3625</v>
      </c>
      <c r="B4" s="97" t="s">
        <v>180</v>
      </c>
      <c r="C4" s="97" t="s">
        <v>5360</v>
      </c>
      <c r="D4" s="97" t="s">
        <v>5361</v>
      </c>
      <c r="E4" s="97" t="s">
        <v>5368</v>
      </c>
      <c r="F4" s="97" t="s">
        <v>5362</v>
      </c>
      <c r="G4" s="97" t="s">
        <v>5363</v>
      </c>
      <c r="H4" s="97" t="s">
        <v>5364</v>
      </c>
      <c r="I4" s="97" t="s">
        <v>5365</v>
      </c>
      <c r="J4" s="97" t="s">
        <v>5366</v>
      </c>
      <c r="K4" s="97" t="s">
        <v>5367</v>
      </c>
      <c r="L4" s="97" t="s">
        <v>5355</v>
      </c>
      <c r="M4" s="97" t="s">
        <v>5357</v>
      </c>
      <c r="N4" s="97" t="s">
        <v>5358</v>
      </c>
      <c r="O4" s="97"/>
    </row>
    <row r="5" spans="1:21">
      <c r="A5" s="97">
        <v>0</v>
      </c>
      <c r="B5" s="97" t="s">
        <v>5354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5382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5381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4493</v>
      </c>
      <c r="B52" s="279" t="s">
        <v>5369</v>
      </c>
      <c r="C52" s="279" t="s">
        <v>5370</v>
      </c>
      <c r="D52" s="279" t="s">
        <v>5371</v>
      </c>
      <c r="E52" s="279" t="s">
        <v>4250</v>
      </c>
      <c r="F52" s="279" t="s">
        <v>5372</v>
      </c>
      <c r="G52" s="279" t="s">
        <v>5373</v>
      </c>
      <c r="H52" s="279" t="s">
        <v>5374</v>
      </c>
      <c r="I52" s="279" t="s">
        <v>5375</v>
      </c>
      <c r="J52" s="279" t="s">
        <v>5376</v>
      </c>
      <c r="K52" s="279" t="s">
        <v>5377</v>
      </c>
      <c r="L52" s="279" t="s">
        <v>5378</v>
      </c>
      <c r="M52" s="279" t="s">
        <v>5379</v>
      </c>
      <c r="N52" s="279" t="s">
        <v>5380</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5340</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5334</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5324</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4862</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5315</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5351</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4493</v>
      </c>
      <c r="B64" s="279" t="s">
        <v>5369</v>
      </c>
      <c r="C64" s="279" t="s">
        <v>5370</v>
      </c>
      <c r="D64" s="279" t="s">
        <v>5371</v>
      </c>
      <c r="E64" s="279" t="s">
        <v>4250</v>
      </c>
      <c r="F64" s="279" t="s">
        <v>5372</v>
      </c>
      <c r="G64" s="279" t="s">
        <v>5373</v>
      </c>
      <c r="H64" s="279" t="s">
        <v>5374</v>
      </c>
      <c r="I64" s="279" t="s">
        <v>5375</v>
      </c>
      <c r="J64" s="279" t="s">
        <v>5376</v>
      </c>
      <c r="K64" s="279" t="s">
        <v>5377</v>
      </c>
      <c r="L64" s="279" t="s">
        <v>5378</v>
      </c>
      <c r="M64" s="279" t="s">
        <v>5379</v>
      </c>
      <c r="N64" s="279" t="s">
        <v>5380</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5340</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5324</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5315</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5351</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4493</v>
      </c>
      <c r="Z2" s="97" t="s">
        <v>4545</v>
      </c>
      <c r="AA2" s="97" t="s">
        <v>4543</v>
      </c>
      <c r="AB2" s="97" t="s">
        <v>4544</v>
      </c>
      <c r="AC2" s="97" t="s">
        <v>4547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4546</v>
      </c>
      <c r="Z4" s="97">
        <v>1</v>
      </c>
      <c r="AA4" s="97">
        <v>1</v>
      </c>
      <c r="AB4" s="97">
        <f>AA4/Z4</f>
        <v>1</v>
      </c>
      <c r="AC4" s="97" t="s">
        <v>4548</v>
      </c>
      <c r="AD4" s="97"/>
      <c r="AE4" s="97"/>
      <c r="AF4" s="97"/>
      <c r="AG4" s="97"/>
      <c r="AH4" s="97"/>
    </row>
    <row r="5" spans="1:34">
      <c r="A5" s="97">
        <v>4</v>
      </c>
      <c r="B5" s="97"/>
      <c r="C5" s="167">
        <v>102</v>
      </c>
      <c r="D5" s="97">
        <v>20000</v>
      </c>
      <c r="E5" s="97">
        <f t="shared" si="0"/>
        <v>980000</v>
      </c>
      <c r="F5" s="167">
        <f t="shared" si="1"/>
        <v>-2030004</v>
      </c>
      <c r="G5" s="167">
        <f t="shared" si="2"/>
        <v>9996</v>
      </c>
      <c r="Y5" s="97" t="s">
        <v>4533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4525</v>
      </c>
      <c r="B43" s="111">
        <v>100000</v>
      </c>
      <c r="C43" s="97" t="s">
        <v>3875</v>
      </c>
      <c r="D43" s="97">
        <v>58</v>
      </c>
      <c r="E43" s="97">
        <f>E44+D43</f>
        <v>105</v>
      </c>
      <c r="F43" s="97">
        <f t="shared" si="0"/>
        <v>1</v>
      </c>
      <c r="G43" s="97">
        <f t="shared" si="2"/>
        <v>10400000</v>
      </c>
    </row>
    <row r="44" spans="1:14">
      <c r="A44" s="97" t="s">
        <v>4690</v>
      </c>
      <c r="B44" s="111">
        <v>-31000</v>
      </c>
      <c r="C44" s="97" t="s">
        <v>4699</v>
      </c>
      <c r="D44" s="97">
        <v>19</v>
      </c>
      <c r="E44" s="97">
        <f t="shared" ref="E44:E50" si="5">E45+D44</f>
        <v>47</v>
      </c>
      <c r="F44" s="97">
        <f t="shared" ref="F44:F50" si="6">IF(B44&gt;0,1,0)</f>
        <v>0</v>
      </c>
      <c r="G44" s="97">
        <f t="shared" ref="G44:G50" si="7">B44*(E44-F44)</f>
        <v>-1457000</v>
      </c>
    </row>
    <row r="45" spans="1:14">
      <c r="A45" s="97" t="s">
        <v>4765</v>
      </c>
      <c r="B45" s="111">
        <v>2060725</v>
      </c>
      <c r="C45" s="97" t="s">
        <v>4768</v>
      </c>
      <c r="D45" s="97">
        <v>6</v>
      </c>
      <c r="E45" s="97">
        <f t="shared" si="5"/>
        <v>28</v>
      </c>
      <c r="F45" s="97">
        <f t="shared" si="6"/>
        <v>1</v>
      </c>
      <c r="G45" s="97">
        <f t="shared" si="7"/>
        <v>55639575</v>
      </c>
    </row>
    <row r="46" spans="1:14">
      <c r="A46" s="97" t="s">
        <v>4789</v>
      </c>
      <c r="B46" s="111">
        <v>-1073169</v>
      </c>
      <c r="C46" s="97" t="s">
        <v>4790</v>
      </c>
      <c r="D46" s="97">
        <v>4</v>
      </c>
      <c r="E46" s="97">
        <f t="shared" si="5"/>
        <v>22</v>
      </c>
      <c r="F46" s="97">
        <f t="shared" si="6"/>
        <v>0</v>
      </c>
      <c r="G46" s="97">
        <f t="shared" si="7"/>
        <v>-23609718</v>
      </c>
    </row>
    <row r="47" spans="1:14">
      <c r="A47" s="97" t="s">
        <v>4781</v>
      </c>
      <c r="B47" s="111">
        <v>-178820</v>
      </c>
      <c r="C47" s="97" t="s">
        <v>3998</v>
      </c>
      <c r="D47" s="97">
        <v>0</v>
      </c>
      <c r="E47" s="97">
        <f t="shared" si="5"/>
        <v>18</v>
      </c>
      <c r="F47" s="97">
        <f t="shared" si="6"/>
        <v>0</v>
      </c>
      <c r="G47" s="97">
        <f t="shared" si="7"/>
        <v>-3218760</v>
      </c>
      <c r="L47" t="s">
        <v>25</v>
      </c>
    </row>
    <row r="48" spans="1:14">
      <c r="A48" s="97" t="s">
        <v>4781</v>
      </c>
      <c r="B48" s="111">
        <v>-25000</v>
      </c>
      <c r="C48" s="97" t="s">
        <v>744</v>
      </c>
      <c r="D48" s="97">
        <v>4</v>
      </c>
      <c r="E48" s="97">
        <f t="shared" si="5"/>
        <v>18</v>
      </c>
      <c r="F48" s="97">
        <f t="shared" si="6"/>
        <v>0</v>
      </c>
      <c r="G48" s="97">
        <f t="shared" si="7"/>
        <v>-450000</v>
      </c>
      <c r="L48" t="s">
        <v>25</v>
      </c>
    </row>
    <row r="49" spans="1:13">
      <c r="A49" s="97" t="s">
        <v>4794</v>
      </c>
      <c r="B49" s="111">
        <v>-49500</v>
      </c>
      <c r="C49" s="97" t="s">
        <v>452</v>
      </c>
      <c r="D49" s="97">
        <v>2</v>
      </c>
      <c r="E49" s="97">
        <f t="shared" si="5"/>
        <v>14</v>
      </c>
      <c r="F49" s="97">
        <f t="shared" si="6"/>
        <v>0</v>
      </c>
      <c r="G49" s="97">
        <f t="shared" si="7"/>
        <v>-693000</v>
      </c>
    </row>
    <row r="50" spans="1:13">
      <c r="A50" s="97" t="s">
        <v>4797</v>
      </c>
      <c r="B50" s="111">
        <v>-4500</v>
      </c>
      <c r="C50" s="97" t="s">
        <v>452</v>
      </c>
      <c r="D50" s="97">
        <v>1</v>
      </c>
      <c r="E50" s="97">
        <f t="shared" si="5"/>
        <v>12</v>
      </c>
      <c r="F50" s="97">
        <f t="shared" si="6"/>
        <v>0</v>
      </c>
      <c r="G50" s="97">
        <f t="shared" si="7"/>
        <v>-54000</v>
      </c>
    </row>
    <row r="51" spans="1:13">
      <c r="A51" s="97" t="s">
        <v>4798</v>
      </c>
      <c r="B51" s="111">
        <v>-328000</v>
      </c>
      <c r="C51" s="97" t="s">
        <v>452</v>
      </c>
      <c r="D51" s="97">
        <v>4</v>
      </c>
      <c r="E51" s="97">
        <f t="shared" ref="E51:E61" si="8">E52+D51</f>
        <v>11</v>
      </c>
      <c r="F51" s="97">
        <f t="shared" ref="F51:F61" si="9">IF(B51&gt;0,1,0)</f>
        <v>0</v>
      </c>
      <c r="G51" s="97">
        <f t="shared" ref="G51:G61" si="10">B51*(E51-F51)</f>
        <v>-3608000</v>
      </c>
    </row>
    <row r="52" spans="1:13">
      <c r="A52" s="97" t="s">
        <v>4802</v>
      </c>
      <c r="B52" s="111">
        <v>-195330</v>
      </c>
      <c r="C52" s="97" t="s">
        <v>4807</v>
      </c>
      <c r="D52" s="97">
        <v>1</v>
      </c>
      <c r="E52" s="97">
        <f t="shared" si="8"/>
        <v>7</v>
      </c>
      <c r="F52" s="97">
        <f t="shared" si="9"/>
        <v>0</v>
      </c>
      <c r="G52" s="97">
        <f t="shared" si="10"/>
        <v>-1367310</v>
      </c>
    </row>
    <row r="53" spans="1:13">
      <c r="A53" s="97" t="s">
        <v>4809</v>
      </c>
      <c r="B53" s="111">
        <v>-140730</v>
      </c>
      <c r="C53" s="97" t="s">
        <v>4812</v>
      </c>
      <c r="D53" s="97">
        <v>1</v>
      </c>
      <c r="E53" s="97">
        <f t="shared" si="8"/>
        <v>6</v>
      </c>
      <c r="F53" s="97">
        <f t="shared" si="9"/>
        <v>0</v>
      </c>
      <c r="G53" s="97">
        <f t="shared" si="10"/>
        <v>-844380</v>
      </c>
    </row>
    <row r="54" spans="1:13">
      <c r="A54" s="97" t="s">
        <v>4810</v>
      </c>
      <c r="B54" s="111">
        <v>-4200</v>
      </c>
      <c r="C54" s="97" t="s">
        <v>1055</v>
      </c>
      <c r="D54" s="97">
        <v>0</v>
      </c>
      <c r="E54" s="97">
        <f t="shared" si="8"/>
        <v>5</v>
      </c>
      <c r="F54" s="97">
        <f t="shared" si="9"/>
        <v>0</v>
      </c>
      <c r="G54" s="97">
        <f t="shared" si="10"/>
        <v>-21000</v>
      </c>
    </row>
    <row r="55" spans="1:13">
      <c r="A55" s="97" t="s">
        <v>4810</v>
      </c>
      <c r="B55" s="111">
        <v>-66567</v>
      </c>
      <c r="C55" s="97" t="s">
        <v>3998</v>
      </c>
      <c r="D55" s="97">
        <v>4</v>
      </c>
      <c r="E55" s="97">
        <f t="shared" si="8"/>
        <v>5</v>
      </c>
      <c r="F55" s="97">
        <f t="shared" si="9"/>
        <v>0</v>
      </c>
      <c r="G55" s="97">
        <f t="shared" si="10"/>
        <v>-332835</v>
      </c>
    </row>
    <row r="56" spans="1:13">
      <c r="A56" s="97" t="s">
        <v>4814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5664</v>
      </c>
    </row>
    <row r="29" spans="2:21">
      <c r="G29" s="11">
        <f t="shared" ref="G29:G41" si="5">$I$48-I29</f>
        <v>0</v>
      </c>
      <c r="H29" s="11" t="s">
        <v>5348</v>
      </c>
      <c r="I29" s="11">
        <v>270000</v>
      </c>
      <c r="J29" s="11" t="s">
        <v>561</v>
      </c>
    </row>
    <row r="30" spans="2:21">
      <c r="G30" s="11">
        <f t="shared" si="5"/>
        <v>0</v>
      </c>
      <c r="H30" s="11" t="s">
        <v>5348</v>
      </c>
      <c r="I30" s="11">
        <v>270000</v>
      </c>
      <c r="J30" s="11" t="s">
        <v>562</v>
      </c>
    </row>
    <row r="31" spans="2:21">
      <c r="G31" s="11">
        <f t="shared" si="5"/>
        <v>3000</v>
      </c>
      <c r="H31" s="11" t="s">
        <v>5547</v>
      </c>
      <c r="I31" s="11">
        <v>267000</v>
      </c>
      <c r="J31" s="11" t="s">
        <v>476</v>
      </c>
    </row>
    <row r="32" spans="2:21">
      <c r="G32" s="11">
        <f>$I$48-I32</f>
        <v>85000</v>
      </c>
      <c r="H32" s="57" t="s">
        <v>780</v>
      </c>
      <c r="I32" s="11">
        <v>185000</v>
      </c>
      <c r="J32" s="11" t="s">
        <v>556</v>
      </c>
    </row>
    <row r="33" spans="6:23">
      <c r="G33" s="11">
        <f t="shared" si="5"/>
        <v>3000</v>
      </c>
      <c r="H33" s="11" t="s">
        <v>5547</v>
      </c>
      <c r="I33" s="11">
        <v>267000</v>
      </c>
      <c r="J33" s="11" t="s">
        <v>563</v>
      </c>
    </row>
    <row r="34" spans="6:23">
      <c r="G34" s="11">
        <f t="shared" si="5"/>
        <v>3000</v>
      </c>
      <c r="H34" s="11" t="s">
        <v>5547</v>
      </c>
      <c r="I34" s="11">
        <v>267000</v>
      </c>
      <c r="J34" s="11" t="s">
        <v>564</v>
      </c>
    </row>
    <row r="35" spans="6:23">
      <c r="G35" s="11">
        <f t="shared" si="5"/>
        <v>3000</v>
      </c>
      <c r="H35" s="11" t="s">
        <v>5547</v>
      </c>
      <c r="I35" s="11">
        <v>267000</v>
      </c>
      <c r="J35" s="11" t="s">
        <v>565</v>
      </c>
    </row>
    <row r="36" spans="6:23">
      <c r="F36" t="s">
        <v>25</v>
      </c>
      <c r="G36" s="11">
        <f t="shared" si="5"/>
        <v>6000</v>
      </c>
      <c r="H36" s="11" t="s">
        <v>5394</v>
      </c>
      <c r="I36" s="11">
        <v>264000</v>
      </c>
      <c r="J36" s="11" t="s">
        <v>636</v>
      </c>
      <c r="O36" s="22"/>
    </row>
    <row r="37" spans="6:23">
      <c r="G37" s="11">
        <f t="shared" si="5"/>
        <v>12000</v>
      </c>
      <c r="H37" s="11" t="s">
        <v>5188</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4737</v>
      </c>
      <c r="I46" s="11">
        <v>248200</v>
      </c>
      <c r="J46" s="11" t="s">
        <v>4746</v>
      </c>
      <c r="M46" s="25"/>
      <c r="N46" s="25"/>
      <c r="O46" s="25"/>
      <c r="P46" s="25"/>
      <c r="Q46" s="25"/>
      <c r="R46" s="25"/>
      <c r="S46" s="25"/>
      <c r="T46" s="25"/>
      <c r="U46" s="25"/>
      <c r="V46" s="25"/>
      <c r="W46" s="25"/>
    </row>
    <row r="47" spans="6:23">
      <c r="G47" s="97">
        <f t="shared" si="6"/>
        <v>13000</v>
      </c>
      <c r="H47" s="97" t="s">
        <v>5145</v>
      </c>
      <c r="I47" s="97">
        <v>257000</v>
      </c>
      <c r="J47" s="97" t="s">
        <v>5178</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5665</v>
      </c>
      <c r="M52" s="25"/>
      <c r="N52" s="25"/>
      <c r="O52" s="68"/>
      <c r="P52" s="25"/>
      <c r="Q52" s="69"/>
      <c r="R52" s="25"/>
      <c r="S52" s="69"/>
      <c r="T52" s="25"/>
      <c r="U52" s="28"/>
      <c r="V52" s="25"/>
      <c r="W52" s="25"/>
    </row>
    <row r="53" spans="7:23">
      <c r="G53" s="97">
        <f>$I$72-I53</f>
        <v>0</v>
      </c>
      <c r="H53" s="97" t="s">
        <v>5348</v>
      </c>
      <c r="I53" s="97">
        <v>38000</v>
      </c>
      <c r="J53" s="97" t="s">
        <v>561</v>
      </c>
      <c r="M53" s="25"/>
      <c r="N53" s="25"/>
      <c r="O53" s="68"/>
      <c r="P53" s="25"/>
      <c r="Q53" s="69"/>
      <c r="R53" s="25"/>
      <c r="S53" s="69"/>
      <c r="T53" s="25"/>
      <c r="U53" s="25"/>
      <c r="V53" s="25"/>
      <c r="W53" s="25"/>
    </row>
    <row r="54" spans="7:23">
      <c r="G54" s="97">
        <f t="shared" ref="G54:G71" si="7">$I$72-I54</f>
        <v>0</v>
      </c>
      <c r="H54" s="97" t="s">
        <v>5348</v>
      </c>
      <c r="I54" s="97">
        <v>38000</v>
      </c>
      <c r="J54" s="97" t="s">
        <v>562</v>
      </c>
      <c r="M54" s="25"/>
      <c r="N54" s="25"/>
      <c r="O54" s="25"/>
      <c r="P54" s="25"/>
      <c r="Q54" s="69"/>
      <c r="R54" s="25"/>
      <c r="S54" s="69"/>
      <c r="T54" s="25"/>
      <c r="U54" s="25"/>
      <c r="V54" s="25"/>
      <c r="W54" s="25"/>
    </row>
    <row r="55" spans="7:23">
      <c r="G55" s="97">
        <f t="shared" si="7"/>
        <v>-229000</v>
      </c>
      <c r="H55" s="97" t="s">
        <v>5547</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5547</v>
      </c>
      <c r="I57" s="97">
        <v>267000</v>
      </c>
      <c r="J57" s="97" t="s">
        <v>563</v>
      </c>
      <c r="M57" s="25"/>
      <c r="N57" s="25"/>
      <c r="O57" s="25"/>
      <c r="P57" s="25"/>
      <c r="Q57" s="69"/>
      <c r="R57" s="25"/>
      <c r="S57" s="69"/>
      <c r="T57" s="25"/>
      <c r="U57" s="25"/>
      <c r="V57" s="25"/>
      <c r="W57" s="25"/>
    </row>
    <row r="58" spans="7:23">
      <c r="G58" s="97">
        <f t="shared" si="7"/>
        <v>-229000</v>
      </c>
      <c r="H58" s="97" t="s">
        <v>5547</v>
      </c>
      <c r="I58" s="97">
        <v>267000</v>
      </c>
      <c r="J58" s="97" t="s">
        <v>564</v>
      </c>
      <c r="M58" s="25"/>
      <c r="N58" s="25"/>
      <c r="O58" s="25"/>
      <c r="P58" s="25"/>
      <c r="Q58" s="69"/>
      <c r="R58" s="25"/>
      <c r="S58" s="69"/>
      <c r="T58" s="25"/>
      <c r="U58" s="25"/>
      <c r="V58" s="25"/>
      <c r="W58" s="25"/>
    </row>
    <row r="59" spans="7:23">
      <c r="G59" s="97">
        <f t="shared" si="7"/>
        <v>-229000</v>
      </c>
      <c r="H59" s="97" t="s">
        <v>5547</v>
      </c>
      <c r="I59" s="97">
        <v>267000</v>
      </c>
      <c r="J59" s="97" t="s">
        <v>565</v>
      </c>
      <c r="M59" s="25"/>
      <c r="N59" s="25"/>
      <c r="O59" s="25"/>
      <c r="P59" s="25"/>
      <c r="Q59" s="69"/>
      <c r="R59" s="25"/>
      <c r="S59" s="69"/>
      <c r="T59" s="25"/>
      <c r="U59" s="25"/>
      <c r="V59" s="25"/>
      <c r="W59" s="25"/>
    </row>
    <row r="60" spans="7:23">
      <c r="G60" s="97">
        <f t="shared" si="7"/>
        <v>-226000</v>
      </c>
      <c r="H60" s="97" t="s">
        <v>5394</v>
      </c>
      <c r="I60" s="97">
        <v>264000</v>
      </c>
      <c r="J60" s="97" t="s">
        <v>636</v>
      </c>
      <c r="M60" s="25"/>
      <c r="N60" s="25"/>
      <c r="O60" s="25"/>
      <c r="P60" s="25"/>
      <c r="Q60" s="69"/>
      <c r="R60" s="25"/>
      <c r="S60" s="69"/>
      <c r="T60" s="25"/>
      <c r="U60" s="25"/>
      <c r="V60" s="25"/>
      <c r="W60" s="25"/>
    </row>
    <row r="61" spans="7:23">
      <c r="G61" s="97">
        <f t="shared" si="7"/>
        <v>-220000</v>
      </c>
      <c r="H61" s="97" t="s">
        <v>5188</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4737</v>
      </c>
      <c r="I70" s="97">
        <v>248200</v>
      </c>
      <c r="J70" s="97" t="s">
        <v>4746</v>
      </c>
    </row>
    <row r="71" spans="7:17">
      <c r="G71" s="97">
        <f t="shared" si="7"/>
        <v>-219000</v>
      </c>
      <c r="H71" s="97" t="s">
        <v>5145</v>
      </c>
      <c r="I71" s="97">
        <v>257000</v>
      </c>
      <c r="J71" s="97" t="s">
        <v>5178</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zoomScaleNormal="100" workbookViewId="0">
      <selection activeCell="J9" sqref="J9"/>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4850</v>
      </c>
      <c r="B1" s="210" t="s">
        <v>4851</v>
      </c>
      <c r="C1" s="187" t="s">
        <v>5052</v>
      </c>
      <c r="D1" s="187" t="s">
        <v>5024</v>
      </c>
      <c r="E1" s="210" t="s">
        <v>5648</v>
      </c>
      <c r="F1" s="210" t="s">
        <v>5649</v>
      </c>
      <c r="G1" s="210" t="s">
        <v>4861</v>
      </c>
      <c r="H1" s="210" t="s">
        <v>4860</v>
      </c>
      <c r="I1" s="210" t="s">
        <v>4250</v>
      </c>
      <c r="J1" s="54" t="s">
        <v>4946</v>
      </c>
      <c r="M1" t="s">
        <v>4853</v>
      </c>
      <c r="N1" t="s">
        <v>4857</v>
      </c>
      <c r="O1" t="s">
        <v>4858</v>
      </c>
    </row>
    <row r="2" spans="1:20">
      <c r="A2" s="195" t="s">
        <v>4852</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4854</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4855</v>
      </c>
      <c r="B4" s="189">
        <v>560000000</v>
      </c>
      <c r="C4" s="187">
        <v>75</v>
      </c>
      <c r="D4" s="187">
        <f>B4*C4/$M$2</f>
        <v>0.58333333333333337</v>
      </c>
      <c r="E4" s="189">
        <v>100</v>
      </c>
      <c r="F4" s="189">
        <f>B4*E4/$M$2</f>
        <v>0.77777777777777779</v>
      </c>
      <c r="G4" s="189"/>
      <c r="H4" s="189"/>
      <c r="I4" s="189">
        <v>1544</v>
      </c>
      <c r="J4" s="189">
        <f>B4*I4/$M$2</f>
        <v>12.008888888888889</v>
      </c>
    </row>
    <row r="5" spans="1:20">
      <c r="A5" s="189" t="s">
        <v>4856</v>
      </c>
      <c r="B5" s="189">
        <v>30161250</v>
      </c>
      <c r="C5" s="187">
        <v>42</v>
      </c>
      <c r="D5" s="187">
        <f>B5*C5/$M$2</f>
        <v>1.75940625E-2</v>
      </c>
      <c r="E5" s="189">
        <v>150</v>
      </c>
      <c r="F5" s="189">
        <f>B5*E5/$M$2</f>
        <v>6.2835937499999994E-2</v>
      </c>
      <c r="G5" s="189"/>
      <c r="H5" s="189"/>
      <c r="I5" s="189">
        <v>4930</v>
      </c>
      <c r="J5" s="189">
        <f>B5*I5/$M$2</f>
        <v>2.0652078125000002</v>
      </c>
    </row>
    <row r="6" spans="1:20">
      <c r="A6" s="5"/>
      <c r="B6" s="5"/>
      <c r="C6" s="5"/>
      <c r="D6" s="5"/>
      <c r="E6" s="5"/>
      <c r="F6" s="5">
        <f>B6*E6/$M$2</f>
        <v>0</v>
      </c>
      <c r="G6" s="5"/>
      <c r="H6" s="5"/>
      <c r="I6" s="5"/>
      <c r="J6" s="210"/>
    </row>
    <row r="7" spans="1:20">
      <c r="A7" s="195" t="s">
        <v>4852</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4859</v>
      </c>
      <c r="B8" s="189">
        <v>555409765</v>
      </c>
      <c r="C8" s="187">
        <v>98</v>
      </c>
      <c r="D8" s="187">
        <f t="shared" ref="D8:D15" si="2">B8*C8*$N$3/$M$2</f>
        <v>0.50974062465073378</v>
      </c>
      <c r="E8" s="189">
        <v>150</v>
      </c>
      <c r="F8" s="189">
        <f t="shared" si="0"/>
        <v>0.78021524181234747</v>
      </c>
      <c r="G8" s="189">
        <v>300</v>
      </c>
      <c r="H8" s="189">
        <f t="shared" si="1"/>
        <v>1.5604304836246949</v>
      </c>
      <c r="I8" s="189">
        <v>15200</v>
      </c>
      <c r="J8" s="189">
        <f t="shared" ref="J8:J15" si="3">B8*I8*$N$3/$M$2</f>
        <v>79.061811170317881</v>
      </c>
    </row>
    <row r="9" spans="1:20">
      <c r="A9" s="189" t="s">
        <v>4856</v>
      </c>
      <c r="B9" s="189">
        <v>4372000000</v>
      </c>
      <c r="C9" s="187">
        <f>C5</f>
        <v>42</v>
      </c>
      <c r="D9" s="187">
        <f t="shared" si="2"/>
        <v>1.7196461974646831</v>
      </c>
      <c r="E9" s="189">
        <f>E5</f>
        <v>150</v>
      </c>
      <c r="F9" s="189">
        <f t="shared" si="0"/>
        <v>6.1415935623738687</v>
      </c>
      <c r="G9" s="189"/>
      <c r="H9" s="189">
        <f t="shared" si="1"/>
        <v>0</v>
      </c>
      <c r="I9" s="189">
        <f>I5</f>
        <v>4930</v>
      </c>
      <c r="J9" s="189">
        <f t="shared" si="3"/>
        <v>201.85370841668782</v>
      </c>
      <c r="L9" t="s">
        <v>25</v>
      </c>
    </row>
    <row r="10" spans="1:20">
      <c r="A10" s="210" t="s">
        <v>4862</v>
      </c>
      <c r="B10" s="210">
        <v>4123527587</v>
      </c>
      <c r="C10" s="187">
        <v>600</v>
      </c>
      <c r="D10" s="187">
        <f t="shared" si="2"/>
        <v>23.170201722406453</v>
      </c>
      <c r="E10" s="210">
        <v>1000</v>
      </c>
      <c r="F10" s="210">
        <f t="shared" si="0"/>
        <v>38.617002870677425</v>
      </c>
      <c r="G10" s="210"/>
      <c r="H10" s="210">
        <f t="shared" si="1"/>
        <v>0</v>
      </c>
      <c r="I10" s="210">
        <v>12000</v>
      </c>
      <c r="J10" s="210">
        <f t="shared" si="3"/>
        <v>463.4040344481291</v>
      </c>
    </row>
    <row r="11" spans="1:20">
      <c r="A11" s="196" t="s">
        <v>4863</v>
      </c>
      <c r="B11" s="196">
        <v>2635379034</v>
      </c>
      <c r="C11" s="187">
        <v>250</v>
      </c>
      <c r="D11" s="187">
        <f t="shared" si="2"/>
        <v>6.1701078490505736</v>
      </c>
      <c r="E11" s="196">
        <v>350</v>
      </c>
      <c r="F11" s="196">
        <f t="shared" si="0"/>
        <v>8.6381509886708034</v>
      </c>
      <c r="G11" s="196"/>
      <c r="H11" s="196">
        <f t="shared" si="1"/>
        <v>0</v>
      </c>
      <c r="I11" s="196">
        <v>6570</v>
      </c>
      <c r="J11" s="196">
        <f t="shared" si="3"/>
        <v>162.15043427304909</v>
      </c>
    </row>
    <row r="12" spans="1:20">
      <c r="A12" s="189" t="s">
        <v>4864</v>
      </c>
      <c r="B12" s="189">
        <v>4858308125</v>
      </c>
      <c r="C12" s="187">
        <v>100</v>
      </c>
      <c r="D12" s="187">
        <f t="shared" si="2"/>
        <v>4.5498252370431018</v>
      </c>
      <c r="E12" s="189">
        <v>140</v>
      </c>
      <c r="F12" s="189">
        <f t="shared" si="0"/>
        <v>6.3697553318603424</v>
      </c>
      <c r="G12" s="189"/>
      <c r="H12" s="189">
        <f t="shared" si="1"/>
        <v>0</v>
      </c>
      <c r="I12" s="189">
        <v>5500</v>
      </c>
      <c r="J12" s="189">
        <f t="shared" si="3"/>
        <v>250.24038803737059</v>
      </c>
      <c r="O12" t="s">
        <v>4934</v>
      </c>
    </row>
    <row r="13" spans="1:20">
      <c r="A13" s="189" t="s">
        <v>5610</v>
      </c>
      <c r="B13" s="189">
        <v>1630533748</v>
      </c>
      <c r="C13" s="187">
        <v>60</v>
      </c>
      <c r="D13" s="187">
        <f t="shared" si="2"/>
        <v>0.91620087556725849</v>
      </c>
      <c r="E13" s="189">
        <v>200</v>
      </c>
      <c r="F13" s="189">
        <f t="shared" si="0"/>
        <v>3.0540029185575288</v>
      </c>
      <c r="G13" s="189"/>
      <c r="H13" s="189">
        <f t="shared" si="1"/>
        <v>0</v>
      </c>
      <c r="I13" s="189">
        <v>4880</v>
      </c>
      <c r="J13" s="189">
        <f t="shared" si="3"/>
        <v>74.517671212803691</v>
      </c>
      <c r="O13" s="97" t="s">
        <v>180</v>
      </c>
      <c r="P13" s="97" t="s">
        <v>267</v>
      </c>
      <c r="Q13" s="97" t="s">
        <v>4932</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19500</v>
      </c>
      <c r="J14" s="189">
        <f>B14*I14*$N$3/$M$2</f>
        <v>148.56613008594022</v>
      </c>
      <c r="L14">
        <f>B12*2.575</f>
        <v>12510143421.875</v>
      </c>
      <c r="O14" s="97" t="s">
        <v>4925</v>
      </c>
      <c r="P14" s="18">
        <v>7500000</v>
      </c>
      <c r="Q14" s="97">
        <v>4</v>
      </c>
      <c r="R14" s="97"/>
      <c r="S14" s="94"/>
      <c r="T14" s="94"/>
    </row>
    <row r="15" spans="1:20">
      <c r="A15" s="189" t="s">
        <v>4865</v>
      </c>
      <c r="B15" s="189">
        <v>236958025</v>
      </c>
      <c r="C15" s="187">
        <v>300</v>
      </c>
      <c r="D15" s="187">
        <f t="shared" si="2"/>
        <v>0.66573645054566621</v>
      </c>
      <c r="E15" s="189">
        <v>350</v>
      </c>
      <c r="F15" s="189">
        <f t="shared" si="0"/>
        <v>0.77669252563661051</v>
      </c>
      <c r="G15" s="189"/>
      <c r="H15" s="189">
        <f t="shared" si="1"/>
        <v>0</v>
      </c>
      <c r="I15" s="189">
        <v>9759</v>
      </c>
      <c r="J15" s="189">
        <f t="shared" si="3"/>
        <v>21.656406736250517</v>
      </c>
      <c r="O15" s="97" t="s">
        <v>4931</v>
      </c>
      <c r="P15" s="18">
        <v>-500000</v>
      </c>
      <c r="Q15" s="97">
        <v>7</v>
      </c>
      <c r="R15" s="97"/>
      <c r="S15" s="94"/>
      <c r="T15" s="94"/>
    </row>
    <row r="16" spans="1:20">
      <c r="A16" s="210"/>
      <c r="B16" s="210"/>
      <c r="C16" s="210"/>
      <c r="D16" s="210"/>
      <c r="E16" s="210"/>
      <c r="F16" s="210">
        <f t="shared" si="0"/>
        <v>0</v>
      </c>
      <c r="G16" s="210"/>
      <c r="H16" s="210">
        <f t="shared" si="1"/>
        <v>0</v>
      </c>
      <c r="I16" s="210"/>
      <c r="J16" s="210">
        <v>550</v>
      </c>
      <c r="K16" t="s">
        <v>5487</v>
      </c>
      <c r="O16" s="97" t="s">
        <v>4939</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5488</v>
      </c>
      <c r="O17" s="97" t="s">
        <v>4942</v>
      </c>
      <c r="P17" s="18">
        <v>2000000</v>
      </c>
      <c r="Q17" s="97">
        <v>6</v>
      </c>
      <c r="R17" s="97"/>
      <c r="S17" s="94"/>
      <c r="T17" s="94"/>
    </row>
    <row r="18" spans="1:22">
      <c r="A18" s="210"/>
      <c r="B18" s="210"/>
      <c r="C18" s="210"/>
      <c r="D18" s="210"/>
      <c r="E18" s="210"/>
      <c r="F18" s="210">
        <f t="shared" si="0"/>
        <v>0</v>
      </c>
      <c r="G18" s="210"/>
      <c r="H18" s="210">
        <f t="shared" si="1"/>
        <v>0</v>
      </c>
      <c r="I18" s="210"/>
      <c r="J18" s="210">
        <v>200</v>
      </c>
      <c r="K18" t="s">
        <v>5489</v>
      </c>
      <c r="O18" s="97" t="s">
        <v>4957</v>
      </c>
      <c r="P18" s="18">
        <v>1000000</v>
      </c>
      <c r="Q18" s="97">
        <v>3</v>
      </c>
      <c r="R18" s="97"/>
      <c r="S18" s="94"/>
      <c r="T18" s="94"/>
    </row>
    <row r="19" spans="1:22">
      <c r="A19" s="210"/>
      <c r="B19" s="210"/>
      <c r="C19" s="210"/>
      <c r="D19" s="210"/>
      <c r="E19" s="210"/>
      <c r="F19" s="210">
        <f t="shared" si="0"/>
        <v>0</v>
      </c>
      <c r="G19" s="210"/>
      <c r="H19" s="210">
        <f t="shared" si="1"/>
        <v>0</v>
      </c>
      <c r="I19" s="210"/>
      <c r="J19" s="210"/>
      <c r="O19" s="97" t="s">
        <v>4964</v>
      </c>
      <c r="P19" s="18">
        <v>200000</v>
      </c>
      <c r="Q19" s="97">
        <v>3</v>
      </c>
      <c r="R19" s="97"/>
      <c r="S19" s="94"/>
      <c r="T19" s="94"/>
    </row>
    <row r="20" spans="1:22">
      <c r="A20" s="210"/>
      <c r="B20" s="210"/>
      <c r="C20" s="210"/>
      <c r="D20" s="210"/>
      <c r="E20" s="210"/>
      <c r="F20" s="210"/>
      <c r="G20" s="210"/>
      <c r="H20" s="210"/>
      <c r="I20" s="210"/>
      <c r="J20" s="210"/>
      <c r="L20" t="s">
        <v>25</v>
      </c>
      <c r="O20" s="97" t="s">
        <v>4967</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3141.245313311706</v>
      </c>
      <c r="K21">
        <f>J21*0.8</f>
        <v>2512.9962506493648</v>
      </c>
      <c r="O21" s="97" t="s">
        <v>4979</v>
      </c>
      <c r="P21" s="18">
        <v>6000000</v>
      </c>
      <c r="Q21" s="97">
        <v>1</v>
      </c>
      <c r="R21" s="97"/>
      <c r="S21" s="94"/>
      <c r="T21" s="94"/>
    </row>
    <row r="22" spans="1:22">
      <c r="A22" s="210"/>
      <c r="B22" s="210"/>
      <c r="C22" s="210"/>
      <c r="D22" s="210" t="s">
        <v>6</v>
      </c>
      <c r="E22" s="210"/>
      <c r="F22" s="210" t="s">
        <v>6</v>
      </c>
      <c r="G22" s="210"/>
      <c r="H22" s="210"/>
      <c r="I22" s="210"/>
      <c r="J22" s="210" t="s">
        <v>4441</v>
      </c>
      <c r="O22" s="97" t="s">
        <v>4980</v>
      </c>
      <c r="P22" s="18">
        <v>2000000</v>
      </c>
      <c r="Q22" s="97">
        <v>3</v>
      </c>
      <c r="R22" s="97"/>
      <c r="S22" s="94"/>
      <c r="T22" s="94"/>
    </row>
    <row r="23" spans="1:22">
      <c r="A23" s="210"/>
      <c r="B23" s="210"/>
      <c r="C23" s="210"/>
      <c r="D23" s="210"/>
      <c r="E23" s="210"/>
      <c r="F23" s="210"/>
      <c r="G23" s="210"/>
      <c r="H23" s="210">
        <v>1800</v>
      </c>
      <c r="I23" s="210">
        <f>H23/J21</f>
        <v>0.57302114940597315</v>
      </c>
      <c r="J23" s="210"/>
      <c r="O23" s="97" t="s">
        <v>4987</v>
      </c>
      <c r="P23" s="18">
        <v>-50000</v>
      </c>
      <c r="Q23" s="97">
        <v>7</v>
      </c>
      <c r="R23" s="97"/>
      <c r="S23" s="94"/>
      <c r="T23" s="94"/>
    </row>
    <row r="24" spans="1:22">
      <c r="A24" s="210"/>
      <c r="B24" s="210"/>
      <c r="C24" s="210"/>
      <c r="D24" s="210"/>
      <c r="E24" s="210"/>
      <c r="F24" s="210"/>
      <c r="G24" s="210"/>
      <c r="H24" s="210" t="s">
        <v>5050</v>
      </c>
      <c r="I24" s="210" t="s">
        <v>5051</v>
      </c>
      <c r="J24" s="210"/>
      <c r="O24" s="97" t="s">
        <v>4993</v>
      </c>
      <c r="P24" s="18">
        <v>-2480000</v>
      </c>
      <c r="Q24" s="97">
        <v>5</v>
      </c>
      <c r="R24" s="97"/>
      <c r="S24" s="94"/>
      <c r="T24" s="94"/>
      <c r="V24" t="s">
        <v>25</v>
      </c>
    </row>
    <row r="25" spans="1:22">
      <c r="O25" s="97" t="s">
        <v>5001</v>
      </c>
      <c r="P25" s="18">
        <v>300000</v>
      </c>
      <c r="Q25" s="97">
        <v>1</v>
      </c>
      <c r="R25" s="97"/>
      <c r="S25" s="94"/>
      <c r="T25" s="94"/>
    </row>
    <row r="26" spans="1:22">
      <c r="O26" s="97" t="s">
        <v>4215</v>
      </c>
      <c r="P26" s="18">
        <v>300000</v>
      </c>
      <c r="Q26" s="97">
        <v>6</v>
      </c>
      <c r="R26" s="97"/>
      <c r="S26" s="94"/>
      <c r="T26" s="94"/>
    </row>
    <row r="27" spans="1:22">
      <c r="O27" s="97" t="s">
        <v>5010</v>
      </c>
      <c r="P27" s="18">
        <v>500000</v>
      </c>
      <c r="Q27" s="97">
        <v>2</v>
      </c>
      <c r="R27" s="97"/>
      <c r="S27" s="94"/>
      <c r="T27" s="94"/>
    </row>
    <row r="28" spans="1:22">
      <c r="C28" s="94" t="s">
        <v>5120</v>
      </c>
      <c r="D28" s="94" t="s">
        <v>5126</v>
      </c>
      <c r="E28" t="s">
        <v>5127</v>
      </c>
      <c r="F28" t="s">
        <v>5129</v>
      </c>
      <c r="G28" t="s">
        <v>5130</v>
      </c>
      <c r="O28" s="97" t="s">
        <v>5016</v>
      </c>
      <c r="P28" s="18">
        <v>100000</v>
      </c>
      <c r="Q28" s="97">
        <v>1</v>
      </c>
      <c r="R28" s="97"/>
      <c r="S28" s="94"/>
      <c r="T28" s="94"/>
    </row>
    <row r="29" spans="1:22">
      <c r="C29" s="94" t="s">
        <v>5125</v>
      </c>
      <c r="D29" s="94">
        <v>1306</v>
      </c>
      <c r="E29">
        <v>0.53500000000000003</v>
      </c>
      <c r="F29">
        <f t="shared" ref="F29:F35" si="4">D29*E29*$D$40</f>
        <v>698710000</v>
      </c>
      <c r="G29">
        <f>F29*11400/1000000000</f>
        <v>7965.2939999999999</v>
      </c>
      <c r="J29" t="s">
        <v>25</v>
      </c>
      <c r="O29" s="97" t="s">
        <v>5017</v>
      </c>
      <c r="P29" s="18">
        <v>-6423626</v>
      </c>
      <c r="Q29" s="97">
        <v>1</v>
      </c>
      <c r="R29" s="97"/>
      <c r="S29" s="94"/>
      <c r="T29" s="94"/>
    </row>
    <row r="30" spans="1:22">
      <c r="B30" s="94"/>
      <c r="C30" s="94" t="s">
        <v>5131</v>
      </c>
      <c r="D30" s="94">
        <v>10</v>
      </c>
      <c r="E30" s="94">
        <v>0.5</v>
      </c>
      <c r="F30" s="94">
        <f t="shared" si="4"/>
        <v>5000000</v>
      </c>
      <c r="G30" s="94">
        <f t="shared" ref="G30:G35" si="5">F30*11400/1000000000</f>
        <v>57</v>
      </c>
      <c r="O30" s="97" t="s">
        <v>5020</v>
      </c>
      <c r="P30" s="18">
        <v>-4592486</v>
      </c>
      <c r="Q30" s="97">
        <v>0</v>
      </c>
      <c r="R30" s="97"/>
      <c r="S30" s="94"/>
      <c r="T30" s="94"/>
      <c r="V30" t="s">
        <v>25</v>
      </c>
    </row>
    <row r="31" spans="1:22">
      <c r="B31" s="94"/>
      <c r="C31" s="94" t="s">
        <v>5132</v>
      </c>
      <c r="D31" s="94">
        <v>492</v>
      </c>
      <c r="E31" s="94">
        <v>0.65</v>
      </c>
      <c r="F31" s="94">
        <f t="shared" si="4"/>
        <v>319800000</v>
      </c>
      <c r="G31" s="94">
        <f t="shared" si="5"/>
        <v>3645.72</v>
      </c>
      <c r="J31" t="s">
        <v>25</v>
      </c>
      <c r="O31" s="97" t="s">
        <v>5020</v>
      </c>
      <c r="P31" s="18">
        <v>4346112</v>
      </c>
      <c r="Q31" s="97">
        <v>11</v>
      </c>
      <c r="R31" s="97"/>
      <c r="S31" s="94"/>
      <c r="T31" s="94"/>
    </row>
    <row r="32" spans="1:22">
      <c r="B32" s="94"/>
      <c r="C32" s="94" t="s">
        <v>5133</v>
      </c>
      <c r="D32" s="94">
        <v>235</v>
      </c>
      <c r="E32" s="94">
        <v>1</v>
      </c>
      <c r="F32" s="94">
        <f t="shared" si="4"/>
        <v>235000000</v>
      </c>
      <c r="G32" s="94">
        <f t="shared" si="5"/>
        <v>2679</v>
      </c>
      <c r="O32" s="97" t="s">
        <v>5034</v>
      </c>
      <c r="P32" s="18">
        <v>1500000</v>
      </c>
      <c r="Q32" s="97">
        <v>16</v>
      </c>
      <c r="R32" s="97"/>
      <c r="S32" s="94"/>
      <c r="T32" s="94"/>
    </row>
    <row r="33" spans="1:22">
      <c r="A33" s="94"/>
      <c r="B33" s="94"/>
      <c r="C33" s="94" t="s">
        <v>5134</v>
      </c>
      <c r="D33" s="94">
        <v>500</v>
      </c>
      <c r="E33" s="94">
        <v>0.6</v>
      </c>
      <c r="F33" s="94">
        <f t="shared" si="4"/>
        <v>300000000</v>
      </c>
      <c r="G33" s="94">
        <f t="shared" si="5"/>
        <v>3420</v>
      </c>
      <c r="O33" s="97" t="s">
        <v>5023</v>
      </c>
      <c r="P33" s="18">
        <v>6000000</v>
      </c>
      <c r="Q33" s="97">
        <v>8</v>
      </c>
      <c r="R33" s="97"/>
      <c r="S33" s="94"/>
      <c r="T33" s="94"/>
    </row>
    <row r="34" spans="1:22">
      <c r="A34" s="94"/>
      <c r="B34" s="94"/>
      <c r="C34" s="94" t="s">
        <v>5135</v>
      </c>
      <c r="D34" s="94">
        <v>903</v>
      </c>
      <c r="E34" s="94">
        <v>1</v>
      </c>
      <c r="F34" s="94">
        <f t="shared" si="4"/>
        <v>903000000</v>
      </c>
      <c r="G34" s="94">
        <f t="shared" si="5"/>
        <v>10294.200000000001</v>
      </c>
      <c r="O34" s="97" t="s">
        <v>5075</v>
      </c>
      <c r="P34" s="18">
        <v>-50000</v>
      </c>
      <c r="Q34" s="97">
        <v>3</v>
      </c>
      <c r="R34" s="97"/>
      <c r="S34" s="94"/>
      <c r="T34" s="94"/>
    </row>
    <row r="35" spans="1:22">
      <c r="A35" s="94"/>
      <c r="B35" s="94"/>
      <c r="E35" s="94"/>
      <c r="F35" s="94">
        <f t="shared" si="4"/>
        <v>0</v>
      </c>
      <c r="G35" s="94">
        <f t="shared" si="5"/>
        <v>0</v>
      </c>
      <c r="O35" s="97" t="s">
        <v>5078</v>
      </c>
      <c r="P35" s="18">
        <v>-20000</v>
      </c>
      <c r="Q35" s="97">
        <v>7</v>
      </c>
      <c r="R35" s="97"/>
      <c r="S35" s="94"/>
      <c r="T35" s="94"/>
    </row>
    <row r="36" spans="1:22">
      <c r="A36" s="94"/>
      <c r="B36" s="94"/>
      <c r="E36" s="94"/>
      <c r="F36" s="94"/>
      <c r="G36" s="94"/>
      <c r="N36" t="s">
        <v>25</v>
      </c>
      <c r="O36" s="97" t="s">
        <v>5036</v>
      </c>
      <c r="P36" s="18">
        <v>6000000</v>
      </c>
      <c r="Q36" s="97">
        <v>1</v>
      </c>
      <c r="R36" s="97"/>
      <c r="S36" s="94"/>
      <c r="T36" s="94"/>
      <c r="V36" t="s">
        <v>25</v>
      </c>
    </row>
    <row r="37" spans="1:22">
      <c r="A37" s="94"/>
      <c r="B37" s="94"/>
      <c r="E37" s="94"/>
      <c r="F37" s="94"/>
      <c r="G37" s="94"/>
      <c r="O37" s="97" t="s">
        <v>5096</v>
      </c>
      <c r="P37" s="18">
        <v>-2302282</v>
      </c>
      <c r="Q37" s="97">
        <v>6</v>
      </c>
      <c r="R37" s="97"/>
      <c r="S37" s="94"/>
      <c r="T37" s="94"/>
    </row>
    <row r="38" spans="1:22">
      <c r="A38" s="94"/>
      <c r="B38" s="94"/>
      <c r="E38" s="94"/>
      <c r="F38" s="94"/>
      <c r="O38" s="97" t="s">
        <v>5102</v>
      </c>
      <c r="P38" s="18">
        <v>100000</v>
      </c>
      <c r="Q38" s="97">
        <v>1</v>
      </c>
      <c r="R38" s="97"/>
      <c r="S38" s="94"/>
      <c r="T38" s="94"/>
    </row>
    <row r="39" spans="1:22">
      <c r="A39" s="94"/>
      <c r="B39" s="94"/>
      <c r="C39" s="94" t="s">
        <v>5121</v>
      </c>
      <c r="D39" s="94" t="s">
        <v>5122</v>
      </c>
      <c r="E39" s="94"/>
      <c r="F39" s="94"/>
      <c r="O39" s="97" t="s">
        <v>5105</v>
      </c>
      <c r="P39" s="18">
        <v>-1727718</v>
      </c>
      <c r="Q39" s="97">
        <v>2</v>
      </c>
      <c r="R39" s="97"/>
      <c r="S39" s="94"/>
      <c r="T39" s="94"/>
      <c r="V39" t="s">
        <v>25</v>
      </c>
    </row>
    <row r="40" spans="1:22">
      <c r="A40" s="94"/>
      <c r="B40" s="94"/>
      <c r="C40" s="94" t="s">
        <v>5128</v>
      </c>
      <c r="D40" s="94">
        <v>1000000</v>
      </c>
      <c r="E40" s="94"/>
      <c r="F40" s="94"/>
      <c r="O40" s="97" t="s">
        <v>5109</v>
      </c>
      <c r="P40" s="18">
        <v>-1000000</v>
      </c>
      <c r="Q40" s="97">
        <v>0</v>
      </c>
      <c r="R40" s="97"/>
      <c r="S40" s="94"/>
      <c r="T40" s="94"/>
    </row>
    <row r="41" spans="1:22">
      <c r="A41" s="94"/>
      <c r="B41" s="94"/>
      <c r="C41" s="94" t="s">
        <v>5123</v>
      </c>
      <c r="D41" s="94" t="s">
        <v>5124</v>
      </c>
      <c r="E41" s="94"/>
      <c r="F41" s="94"/>
      <c r="O41" s="97" t="s">
        <v>5109</v>
      </c>
      <c r="P41" s="18">
        <v>-439200</v>
      </c>
      <c r="Q41" s="97">
        <v>1</v>
      </c>
      <c r="R41" s="97"/>
      <c r="S41" s="94"/>
      <c r="T41" s="94"/>
    </row>
    <row r="42" spans="1:22">
      <c r="A42" s="94"/>
      <c r="B42" s="94"/>
      <c r="E42" s="94"/>
      <c r="F42" s="94"/>
      <c r="O42" s="97" t="s">
        <v>5114</v>
      </c>
      <c r="P42" s="18">
        <v>-3631879</v>
      </c>
      <c r="Q42" s="97">
        <v>3</v>
      </c>
      <c r="R42" s="97"/>
      <c r="S42" s="94"/>
      <c r="T42" s="94"/>
    </row>
    <row r="43" spans="1:22">
      <c r="A43" s="94"/>
      <c r="B43" s="94"/>
      <c r="E43" s="94"/>
      <c r="F43" s="94"/>
      <c r="O43" s="97" t="s">
        <v>5139</v>
      </c>
      <c r="P43" s="18">
        <v>-2428921</v>
      </c>
      <c r="Q43" s="97">
        <v>9</v>
      </c>
      <c r="R43" s="97"/>
      <c r="S43" s="94"/>
      <c r="T43" s="94"/>
    </row>
    <row r="44" spans="1:22">
      <c r="A44" s="94"/>
      <c r="B44" s="94"/>
      <c r="E44" s="94"/>
      <c r="F44" s="94"/>
      <c r="O44" s="97" t="s">
        <v>5160</v>
      </c>
      <c r="P44" s="18">
        <v>-500000</v>
      </c>
      <c r="Q44" s="97">
        <v>1</v>
      </c>
      <c r="R44" s="97"/>
      <c r="S44" s="94"/>
      <c r="T44" s="94"/>
    </row>
    <row r="45" spans="1:22">
      <c r="A45" s="94"/>
      <c r="B45" s="94"/>
      <c r="E45" s="94"/>
      <c r="F45" s="94"/>
      <c r="O45" s="97" t="s">
        <v>5161</v>
      </c>
      <c r="P45" s="18">
        <v>-2603</v>
      </c>
      <c r="Q45" s="97">
        <v>0</v>
      </c>
      <c r="R45" s="97" t="s">
        <v>5162</v>
      </c>
      <c r="S45" s="94"/>
      <c r="T45" s="94"/>
    </row>
    <row r="46" spans="1:22">
      <c r="A46" s="94"/>
      <c r="B46" s="94" t="s">
        <v>4851</v>
      </c>
      <c r="C46" s="94" t="s">
        <v>4250</v>
      </c>
      <c r="D46" s="94" t="s">
        <v>4424</v>
      </c>
      <c r="E46" s="94" t="s">
        <v>5126</v>
      </c>
      <c r="F46" s="94" t="s">
        <v>5473</v>
      </c>
      <c r="O46" s="97" t="s">
        <v>5161</v>
      </c>
      <c r="P46" s="18">
        <v>-250000</v>
      </c>
      <c r="Q46" s="97">
        <v>7</v>
      </c>
      <c r="R46" s="97"/>
      <c r="S46" s="94"/>
      <c r="T46" s="94"/>
    </row>
    <row r="47" spans="1:22">
      <c r="A47" s="94" t="s">
        <v>4862</v>
      </c>
      <c r="B47" s="94">
        <v>6</v>
      </c>
      <c r="C47" s="94">
        <v>4125</v>
      </c>
      <c r="D47" s="94">
        <f>B47*C47</f>
        <v>24750</v>
      </c>
      <c r="E47" s="94">
        <v>3</v>
      </c>
      <c r="F47" s="94">
        <f>D47/E47</f>
        <v>8250</v>
      </c>
      <c r="M47" t="s">
        <v>25</v>
      </c>
      <c r="O47" s="97" t="s">
        <v>4258</v>
      </c>
      <c r="P47" s="18">
        <v>185749</v>
      </c>
      <c r="Q47" s="97">
        <v>5</v>
      </c>
      <c r="R47" s="97"/>
      <c r="S47" s="94"/>
      <c r="T47" s="94"/>
    </row>
    <row r="48" spans="1:22">
      <c r="A48" s="94" t="s">
        <v>4516</v>
      </c>
      <c r="B48" s="94">
        <v>9</v>
      </c>
      <c r="C48" s="94">
        <v>439</v>
      </c>
      <c r="D48" s="94">
        <f>B48*C48</f>
        <v>3951</v>
      </c>
      <c r="E48" s="94">
        <v>1.073</v>
      </c>
      <c r="F48" s="94">
        <f>D48/E48</f>
        <v>3682.1994408201308</v>
      </c>
      <c r="M48" t="s">
        <v>25</v>
      </c>
      <c r="O48" s="97" t="s">
        <v>5176</v>
      </c>
      <c r="P48" s="18">
        <v>300000</v>
      </c>
      <c r="Q48" s="97">
        <v>3</v>
      </c>
      <c r="R48" s="97"/>
      <c r="S48" s="94"/>
      <c r="T48" s="94"/>
    </row>
    <row r="49" spans="1:21">
      <c r="A49" s="94"/>
      <c r="B49" s="94"/>
      <c r="E49" s="94"/>
      <c r="F49" s="94"/>
      <c r="O49" s="97" t="s">
        <v>5183</v>
      </c>
      <c r="P49" s="18">
        <v>-50000</v>
      </c>
      <c r="Q49" s="97">
        <v>3</v>
      </c>
      <c r="R49" s="97"/>
      <c r="S49" s="94"/>
      <c r="T49" s="94"/>
    </row>
    <row r="50" spans="1:21">
      <c r="A50" s="94"/>
      <c r="B50" s="94"/>
      <c r="E50" s="94"/>
      <c r="F50" s="94"/>
      <c r="O50" s="97" t="s">
        <v>5188</v>
      </c>
      <c r="P50" s="18">
        <v>-1683146</v>
      </c>
      <c r="Q50" s="97">
        <v>10</v>
      </c>
      <c r="R50" s="97"/>
      <c r="S50" s="94"/>
      <c r="T50" s="94"/>
    </row>
    <row r="51" spans="1:21">
      <c r="A51" s="94"/>
      <c r="B51" s="94"/>
      <c r="E51" s="94"/>
      <c r="F51" s="94"/>
      <c r="O51" s="97" t="s">
        <v>5200</v>
      </c>
      <c r="P51" s="18">
        <v>700000</v>
      </c>
      <c r="Q51" s="97">
        <v>18</v>
      </c>
      <c r="R51" s="97"/>
      <c r="S51" s="94"/>
      <c r="T51" s="94"/>
    </row>
    <row r="52" spans="1:21">
      <c r="A52" s="94"/>
      <c r="B52" s="94"/>
      <c r="E52" s="94"/>
      <c r="F52" s="94"/>
      <c r="O52" s="97" t="s">
        <v>5214</v>
      </c>
      <c r="P52" s="18">
        <v>-700000</v>
      </c>
      <c r="Q52" s="97">
        <v>46</v>
      </c>
      <c r="R52" s="97"/>
    </row>
    <row r="53" spans="1:21">
      <c r="A53" s="94"/>
      <c r="B53" s="94"/>
      <c r="E53" s="94"/>
      <c r="F53" s="94"/>
      <c r="K53" t="s">
        <v>25</v>
      </c>
      <c r="O53" s="97" t="s">
        <v>5264</v>
      </c>
      <c r="P53" s="18">
        <v>1000000</v>
      </c>
      <c r="Q53" s="97">
        <v>4</v>
      </c>
      <c r="R53" s="97"/>
    </row>
    <row r="54" spans="1:21">
      <c r="A54" s="94"/>
      <c r="B54" s="94"/>
      <c r="E54" s="94"/>
      <c r="F54" s="94"/>
      <c r="O54" s="97" t="s">
        <v>5268</v>
      </c>
      <c r="P54" s="18">
        <v>1500000</v>
      </c>
      <c r="Q54" s="97">
        <v>1</v>
      </c>
      <c r="R54" s="97"/>
    </row>
    <row r="55" spans="1:21">
      <c r="A55" s="94"/>
      <c r="B55" s="94"/>
      <c r="E55" s="94"/>
      <c r="F55" s="94"/>
      <c r="O55" s="97" t="s">
        <v>5269</v>
      </c>
      <c r="P55" s="18">
        <v>-1500000</v>
      </c>
      <c r="Q55" s="97">
        <v>15</v>
      </c>
      <c r="R55" s="97"/>
    </row>
    <row r="56" spans="1:21">
      <c r="A56" s="94"/>
      <c r="B56" s="94"/>
      <c r="E56" s="94"/>
      <c r="F56" s="94"/>
      <c r="O56" s="97" t="s">
        <v>5300</v>
      </c>
      <c r="P56" s="18">
        <v>-100000</v>
      </c>
      <c r="Q56" s="97">
        <v>5</v>
      </c>
      <c r="R56" s="97"/>
    </row>
    <row r="57" spans="1:21">
      <c r="A57" s="94"/>
      <c r="B57" s="94"/>
      <c r="E57" s="94"/>
      <c r="F57" s="94"/>
      <c r="O57" s="97" t="s">
        <v>5306</v>
      </c>
      <c r="P57" s="18">
        <v>1164690</v>
      </c>
      <c r="Q57" s="97">
        <v>4</v>
      </c>
      <c r="R57" s="97"/>
      <c r="S57" t="s">
        <v>25</v>
      </c>
    </row>
    <row r="58" spans="1:21">
      <c r="A58" s="94"/>
      <c r="B58" s="94"/>
      <c r="E58" s="94"/>
      <c r="F58" s="94"/>
      <c r="O58" s="97" t="s">
        <v>5316</v>
      </c>
      <c r="P58" s="18">
        <v>1000000</v>
      </c>
      <c r="Q58" s="97">
        <v>4</v>
      </c>
      <c r="R58" s="97"/>
    </row>
    <row r="59" spans="1:21">
      <c r="A59" s="94"/>
      <c r="B59" s="94"/>
      <c r="E59" s="94"/>
      <c r="F59" s="94"/>
      <c r="O59" s="97" t="s">
        <v>5321</v>
      </c>
      <c r="P59" s="18">
        <v>-264690</v>
      </c>
      <c r="Q59" s="97">
        <v>7</v>
      </c>
      <c r="R59" s="97"/>
    </row>
    <row r="60" spans="1:21">
      <c r="A60" s="94"/>
      <c r="B60" s="94"/>
      <c r="E60" s="94"/>
      <c r="F60" s="94"/>
      <c r="N60" t="s">
        <v>25</v>
      </c>
      <c r="O60" s="97" t="s">
        <v>5339</v>
      </c>
      <c r="P60" s="18">
        <v>2700000</v>
      </c>
      <c r="Q60" s="97">
        <v>0</v>
      </c>
      <c r="R60" s="97"/>
    </row>
    <row r="61" spans="1:21">
      <c r="A61" s="94"/>
      <c r="B61" s="94"/>
      <c r="E61" s="94"/>
      <c r="F61" s="94"/>
      <c r="O61" s="97" t="s">
        <v>5339</v>
      </c>
      <c r="P61" s="18">
        <v>-1000000</v>
      </c>
      <c r="Q61" s="97">
        <v>1</v>
      </c>
      <c r="R61" s="97" t="s">
        <v>5342</v>
      </c>
    </row>
    <row r="62" spans="1:21">
      <c r="A62" s="94"/>
      <c r="B62" s="94"/>
      <c r="E62" s="94"/>
      <c r="F62" s="94"/>
      <c r="O62" s="97" t="s">
        <v>5344</v>
      </c>
      <c r="P62" s="18">
        <v>-75616</v>
      </c>
      <c r="Q62" s="97">
        <v>2</v>
      </c>
      <c r="R62" s="97" t="s">
        <v>5345</v>
      </c>
    </row>
    <row r="63" spans="1:21">
      <c r="A63" s="94"/>
      <c r="B63" s="94"/>
      <c r="E63" s="94"/>
      <c r="F63" s="94"/>
      <c r="O63" s="97" t="s">
        <v>963</v>
      </c>
      <c r="P63" s="18">
        <v>-2424384</v>
      </c>
      <c r="Q63" s="97">
        <v>2</v>
      </c>
      <c r="R63" s="97"/>
      <c r="U63" t="s">
        <v>25</v>
      </c>
    </row>
    <row r="64" spans="1:21">
      <c r="A64" s="94"/>
      <c r="B64" s="94"/>
      <c r="E64" s="94"/>
      <c r="F64" s="94"/>
      <c r="O64" s="97" t="s">
        <v>5359</v>
      </c>
      <c r="P64" s="18">
        <v>-2000000</v>
      </c>
      <c r="Q64" s="97">
        <v>6</v>
      </c>
      <c r="R64" s="97"/>
    </row>
    <row r="65" spans="1:21">
      <c r="A65" s="94"/>
      <c r="B65" s="94"/>
      <c r="E65" s="94"/>
      <c r="F65" s="94"/>
      <c r="O65" s="97" t="s">
        <v>5396</v>
      </c>
      <c r="P65" s="18">
        <v>2500000</v>
      </c>
      <c r="Q65" s="97">
        <v>1</v>
      </c>
      <c r="R65" s="97"/>
    </row>
    <row r="66" spans="1:21">
      <c r="A66" s="94"/>
      <c r="B66" s="94"/>
      <c r="E66" s="94"/>
      <c r="F66" s="94"/>
      <c r="O66" s="97" t="s">
        <v>5399</v>
      </c>
      <c r="P66" s="18">
        <v>3000000</v>
      </c>
      <c r="Q66" s="97">
        <v>3</v>
      </c>
      <c r="R66" s="97"/>
    </row>
    <row r="67" spans="1:21">
      <c r="A67" s="94"/>
      <c r="B67" s="94"/>
      <c r="E67" s="94"/>
      <c r="F67" s="94"/>
      <c r="O67" s="97" t="s">
        <v>5406</v>
      </c>
      <c r="P67" s="18">
        <v>-300000</v>
      </c>
      <c r="Q67" s="97">
        <v>5</v>
      </c>
      <c r="R67" s="97"/>
    </row>
    <row r="68" spans="1:21">
      <c r="A68" s="94"/>
      <c r="B68" s="94"/>
      <c r="E68" s="94"/>
      <c r="F68" s="94"/>
      <c r="O68" s="97" t="s">
        <v>5418</v>
      </c>
      <c r="P68" s="18">
        <v>500000</v>
      </c>
      <c r="Q68" s="97">
        <v>1</v>
      </c>
      <c r="R68" s="97"/>
    </row>
    <row r="69" spans="1:21">
      <c r="A69" s="94"/>
      <c r="B69" s="94"/>
      <c r="E69" s="94"/>
      <c r="F69" s="94"/>
      <c r="O69" s="97" t="s">
        <v>5420</v>
      </c>
      <c r="P69" s="18">
        <v>1000000</v>
      </c>
      <c r="Q69" s="97">
        <v>5</v>
      </c>
      <c r="R69" s="97"/>
    </row>
    <row r="70" spans="1:21">
      <c r="A70" s="94"/>
      <c r="B70" s="94"/>
      <c r="E70" s="94"/>
      <c r="F70" s="94"/>
      <c r="O70" s="97" t="s">
        <v>5425</v>
      </c>
      <c r="P70" s="18">
        <v>-2700000</v>
      </c>
      <c r="Q70" s="97">
        <v>1</v>
      </c>
      <c r="R70" s="97"/>
    </row>
    <row r="71" spans="1:21">
      <c r="A71" s="94"/>
      <c r="B71" s="94"/>
      <c r="E71" s="94"/>
      <c r="F71" s="94"/>
      <c r="M71" t="s">
        <v>25</v>
      </c>
      <c r="O71" s="97" t="s">
        <v>5426</v>
      </c>
      <c r="P71" s="18">
        <v>-3600000</v>
      </c>
      <c r="Q71" s="97">
        <v>1</v>
      </c>
      <c r="R71" s="97"/>
    </row>
    <row r="72" spans="1:21">
      <c r="A72" s="94"/>
      <c r="B72" s="94"/>
      <c r="E72" s="94"/>
      <c r="F72" s="94"/>
      <c r="O72" s="97" t="s">
        <v>987</v>
      </c>
      <c r="P72" s="18">
        <v>-400000</v>
      </c>
      <c r="Q72" s="97">
        <v>17</v>
      </c>
      <c r="R72" s="97"/>
    </row>
    <row r="73" spans="1:21">
      <c r="A73" s="94"/>
      <c r="B73" s="94"/>
      <c r="E73" s="94"/>
      <c r="F73" s="94"/>
      <c r="O73" s="97" t="s">
        <v>5450</v>
      </c>
      <c r="P73" s="18">
        <v>1000000</v>
      </c>
      <c r="Q73" s="97">
        <v>20</v>
      </c>
      <c r="R73" s="97"/>
    </row>
    <row r="74" spans="1:21">
      <c r="A74" s="94"/>
      <c r="B74" s="94"/>
      <c r="E74" s="94"/>
      <c r="F74" s="94"/>
      <c r="O74" s="97" t="s">
        <v>5484</v>
      </c>
      <c r="P74" s="18">
        <v>-1000000</v>
      </c>
      <c r="Q74" s="97">
        <v>25</v>
      </c>
      <c r="R74" s="97"/>
    </row>
    <row r="75" spans="1:21">
      <c r="A75" s="94"/>
      <c r="B75" s="94"/>
      <c r="E75" s="94"/>
      <c r="F75" s="94"/>
      <c r="O75" s="97" t="s">
        <v>5522</v>
      </c>
      <c r="P75" s="18">
        <v>300000</v>
      </c>
      <c r="Q75" s="97">
        <v>3</v>
      </c>
      <c r="R75" s="97"/>
    </row>
    <row r="76" spans="1:21">
      <c r="A76" s="94"/>
      <c r="B76" s="94"/>
      <c r="E76" s="94"/>
      <c r="F76" s="94"/>
      <c r="O76" s="97" t="s">
        <v>5528</v>
      </c>
      <c r="P76" s="18">
        <v>-300000</v>
      </c>
      <c r="Q76" s="97">
        <v>9</v>
      </c>
      <c r="R76" s="97"/>
    </row>
    <row r="77" spans="1:21">
      <c r="A77" s="94"/>
      <c r="B77" s="94"/>
      <c r="E77" s="94"/>
      <c r="F77" s="94"/>
      <c r="O77" s="97" t="s">
        <v>5547</v>
      </c>
      <c r="P77" s="18">
        <v>1000000</v>
      </c>
      <c r="Q77" s="97">
        <v>24</v>
      </c>
      <c r="R77" s="97"/>
      <c r="U77" t="s">
        <v>25</v>
      </c>
    </row>
    <row r="78" spans="1:21">
      <c r="A78" s="94"/>
      <c r="B78" s="94"/>
      <c r="E78" s="94"/>
      <c r="F78" s="94"/>
      <c r="M78" t="s">
        <v>25</v>
      </c>
      <c r="O78" s="97" t="s">
        <v>5600</v>
      </c>
      <c r="P78" s="18">
        <v>-1380100</v>
      </c>
      <c r="Q78" s="97">
        <v>11</v>
      </c>
      <c r="R78" s="97"/>
    </row>
    <row r="79" spans="1:21">
      <c r="A79" s="94"/>
      <c r="B79" s="94"/>
      <c r="E79" s="94"/>
      <c r="F79" s="94"/>
      <c r="L79" s="112"/>
      <c r="O79" s="97" t="s">
        <v>5622</v>
      </c>
      <c r="P79" s="18">
        <v>1280015</v>
      </c>
      <c r="Q79" s="97">
        <v>0</v>
      </c>
      <c r="R79" s="97"/>
    </row>
    <row r="80" spans="1:21">
      <c r="A80" s="94"/>
      <c r="B80" s="94"/>
      <c r="E80" s="94"/>
      <c r="F80" s="94"/>
      <c r="O80" s="97" t="s">
        <v>5622</v>
      </c>
      <c r="P80" s="18">
        <v>300000</v>
      </c>
      <c r="Q80" s="97">
        <v>7</v>
      </c>
      <c r="R80" s="97"/>
    </row>
    <row r="81" spans="2:19">
      <c r="B81" s="94"/>
      <c r="E81" s="94"/>
      <c r="F81" s="94"/>
      <c r="O81" s="97" t="s">
        <v>5635</v>
      </c>
      <c r="P81" s="18">
        <v>3000000</v>
      </c>
      <c r="Q81" s="97">
        <v>3</v>
      </c>
      <c r="R81" s="97"/>
    </row>
    <row r="82" spans="2:19">
      <c r="E82" s="94"/>
      <c r="F82" s="94"/>
      <c r="O82" s="97" t="s">
        <v>5654</v>
      </c>
      <c r="P82" s="18">
        <v>300000</v>
      </c>
      <c r="Q82" s="97">
        <v>8</v>
      </c>
      <c r="R82" s="97"/>
    </row>
    <row r="83" spans="2:19">
      <c r="E83" s="94"/>
      <c r="F83" s="94"/>
      <c r="O83" s="97" t="s">
        <v>5680</v>
      </c>
      <c r="P83" s="18">
        <v>-3500000</v>
      </c>
      <c r="Q83" s="97">
        <v>6</v>
      </c>
      <c r="R83" s="97"/>
    </row>
    <row r="84" spans="2:19">
      <c r="E84" s="94"/>
      <c r="F84" s="94"/>
      <c r="O84" s="97" t="s">
        <v>5693</v>
      </c>
      <c r="P84" s="18">
        <v>-70000</v>
      </c>
      <c r="Q84" s="97">
        <v>1</v>
      </c>
      <c r="R84" s="97"/>
    </row>
    <row r="85" spans="2:19">
      <c r="E85" s="94"/>
      <c r="F85" s="94"/>
      <c r="M85" t="s">
        <v>25</v>
      </c>
      <c r="O85" s="97" t="s">
        <v>5702</v>
      </c>
      <c r="P85" s="18">
        <v>70085</v>
      </c>
      <c r="Q85" s="97">
        <v>1</v>
      </c>
      <c r="R85" s="97" t="s">
        <v>5703</v>
      </c>
    </row>
    <row r="86" spans="2:19">
      <c r="E86" s="94"/>
      <c r="F86" s="94"/>
      <c r="O86" s="97"/>
      <c r="P86" s="18"/>
      <c r="Q86" s="97"/>
      <c r="R86" s="97"/>
    </row>
    <row r="87" spans="2:19">
      <c r="O87" s="97"/>
      <c r="P87" s="18"/>
      <c r="Q87" s="97"/>
      <c r="R87" s="97"/>
      <c r="S87" t="s">
        <v>25</v>
      </c>
    </row>
    <row r="88" spans="2:19">
      <c r="O88" s="97"/>
      <c r="P88" s="18"/>
      <c r="Q88" s="97"/>
      <c r="R88" s="97"/>
    </row>
    <row r="89" spans="2:19">
      <c r="O89" s="97"/>
      <c r="P89" s="18">
        <f>SUM(P14:P88)</f>
        <v>1000000</v>
      </c>
      <c r="Q89" s="97"/>
      <c r="R89" s="97"/>
    </row>
    <row r="90" spans="2:19">
      <c r="P90" t="s">
        <v>4933</v>
      </c>
    </row>
    <row r="92" spans="2:19">
      <c r="O92" t="s">
        <v>25</v>
      </c>
    </row>
    <row r="94" spans="2:19">
      <c r="Q94" t="s">
        <v>25</v>
      </c>
    </row>
    <row r="95" spans="2:19">
      <c r="O95" t="s">
        <v>25</v>
      </c>
      <c r="R95" t="s">
        <v>25</v>
      </c>
    </row>
    <row r="96" spans="2:19">
      <c r="P96" t="s">
        <v>25</v>
      </c>
      <c r="R96" t="s">
        <v>25</v>
      </c>
    </row>
    <row r="97" spans="15:18">
      <c r="R97" t="s">
        <v>25</v>
      </c>
    </row>
    <row r="98" spans="15:18">
      <c r="O9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4493</v>
      </c>
      <c r="B1" t="s">
        <v>935</v>
      </c>
      <c r="C1" t="s">
        <v>4545</v>
      </c>
      <c r="D1" t="s">
        <v>4832</v>
      </c>
      <c r="E1" t="s">
        <v>4833</v>
      </c>
      <c r="F1" t="s">
        <v>8</v>
      </c>
    </row>
    <row r="2" spans="1:6">
      <c r="A2" t="s">
        <v>4836</v>
      </c>
      <c r="B2">
        <v>237</v>
      </c>
      <c r="C2">
        <v>281</v>
      </c>
      <c r="D2">
        <f>B2/C2</f>
        <v>0.84341637010676151</v>
      </c>
      <c r="E2" t="s">
        <v>4837</v>
      </c>
      <c r="F2" t="s">
        <v>4838</v>
      </c>
    </row>
    <row r="3" spans="1:6">
      <c r="A3" t="s">
        <v>4491</v>
      </c>
      <c r="B3">
        <v>134</v>
      </c>
      <c r="C3">
        <v>193</v>
      </c>
      <c r="D3" s="94">
        <f t="shared" ref="D3:D21" si="0">B3/C3</f>
        <v>0.69430051813471505</v>
      </c>
      <c r="E3" t="s">
        <v>4837</v>
      </c>
      <c r="F3" s="94" t="s">
        <v>4838</v>
      </c>
    </row>
    <row r="4" spans="1:6">
      <c r="A4" t="s">
        <v>4839</v>
      </c>
      <c r="B4">
        <v>195</v>
      </c>
      <c r="C4">
        <v>73</v>
      </c>
      <c r="D4" s="94">
        <f t="shared" si="0"/>
        <v>2.6712328767123288</v>
      </c>
      <c r="E4" t="s">
        <v>4840</v>
      </c>
      <c r="F4" t="s">
        <v>4841</v>
      </c>
    </row>
    <row r="5" spans="1:6">
      <c r="A5" t="s">
        <v>4842</v>
      </c>
      <c r="B5">
        <v>1</v>
      </c>
      <c r="C5">
        <v>1</v>
      </c>
      <c r="D5" s="94">
        <f t="shared" si="0"/>
        <v>1</v>
      </c>
      <c r="E5" t="s">
        <v>4840</v>
      </c>
      <c r="F5" t="s">
        <v>4843</v>
      </c>
    </row>
    <row r="6" spans="1:6">
      <c r="A6" t="s">
        <v>4530</v>
      </c>
      <c r="B6">
        <v>163</v>
      </c>
      <c r="C6">
        <v>232</v>
      </c>
      <c r="D6" s="94">
        <f t="shared" si="0"/>
        <v>0.70258620689655171</v>
      </c>
      <c r="F6" s="94" t="s">
        <v>4838</v>
      </c>
    </row>
    <row r="7" spans="1:6">
      <c r="A7" t="s">
        <v>4844</v>
      </c>
      <c r="B7">
        <v>247</v>
      </c>
      <c r="C7">
        <v>250</v>
      </c>
      <c r="D7" s="94">
        <f t="shared" si="0"/>
        <v>0.98799999999999999</v>
      </c>
    </row>
    <row r="8" spans="1:6">
      <c r="A8" t="s">
        <v>4845</v>
      </c>
      <c r="B8">
        <v>335</v>
      </c>
      <c r="C8">
        <v>141</v>
      </c>
      <c r="D8" s="94">
        <f t="shared" si="0"/>
        <v>2.375886524822695</v>
      </c>
      <c r="F8" s="94" t="s">
        <v>4843</v>
      </c>
    </row>
    <row r="9" spans="1:6">
      <c r="A9" t="s">
        <v>4736</v>
      </c>
      <c r="B9">
        <v>150</v>
      </c>
      <c r="C9">
        <v>240</v>
      </c>
      <c r="D9" s="94">
        <f t="shared" si="0"/>
        <v>0.625</v>
      </c>
      <c r="F9" t="s">
        <v>4846</v>
      </c>
    </row>
    <row r="10" spans="1:6">
      <c r="A10" t="s">
        <v>4847</v>
      </c>
      <c r="B10">
        <v>187</v>
      </c>
      <c r="C10">
        <v>208</v>
      </c>
      <c r="D10" s="94">
        <f t="shared" si="0"/>
        <v>0.89903846153846156</v>
      </c>
      <c r="F10" t="s">
        <v>4837</v>
      </c>
    </row>
    <row r="11" spans="1:6">
      <c r="A11" t="s">
        <v>4848</v>
      </c>
      <c r="B11">
        <v>412</v>
      </c>
      <c r="C11">
        <v>183</v>
      </c>
      <c r="D11" s="94">
        <f t="shared" si="0"/>
        <v>2.2513661202185791</v>
      </c>
      <c r="F11" s="94" t="s">
        <v>4843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4831</v>
      </c>
      <c r="B21">
        <v>113</v>
      </c>
      <c r="C21">
        <v>215</v>
      </c>
      <c r="D21" s="94">
        <f t="shared" si="0"/>
        <v>0.52558139534883719</v>
      </c>
      <c r="E21" t="s">
        <v>4834</v>
      </c>
      <c r="F21" t="s">
        <v>4835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46" sqref="E14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4782</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4784</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4781</v>
      </c>
      <c r="B4" s="18">
        <v>-960200</v>
      </c>
      <c r="C4" s="18">
        <v>0</v>
      </c>
      <c r="D4" s="111">
        <f t="shared" si="0"/>
        <v>-960200</v>
      </c>
      <c r="E4" s="97" t="s">
        <v>4785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4698</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4698</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4698</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4706</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4706</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4706</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4710</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4711</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4711</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4716</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4716</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4749</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4754</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4757</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4757</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4757</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4759</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4759</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4760</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4760</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4765</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4774</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4774</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4774</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4786</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4783</v>
      </c>
      <c r="F42" s="94"/>
      <c r="G42" s="94"/>
      <c r="H42" s="94"/>
      <c r="I42" s="94"/>
      <c r="J42" s="94"/>
      <c r="K42" s="94"/>
      <c r="L42" s="94"/>
      <c r="M42" s="94"/>
      <c r="N42" s="94"/>
      <c r="O42" s="94"/>
      <c r="P42" s="94"/>
      <c r="Q42" s="94"/>
      <c r="R42" s="94"/>
      <c r="S42" s="94"/>
      <c r="T42" s="94"/>
      <c r="U42" s="94"/>
    </row>
    <row r="43" spans="1:21">
      <c r="A43" s="94"/>
      <c r="B43" s="94"/>
      <c r="C43" s="94"/>
      <c r="D43" s="18">
        <v>252830</v>
      </c>
      <c r="E43" s="120" t="s">
        <v>4788</v>
      </c>
      <c r="F43" s="94"/>
      <c r="G43" s="94"/>
      <c r="H43" s="94"/>
      <c r="I43" s="94"/>
      <c r="J43" s="94"/>
      <c r="K43" s="94"/>
      <c r="L43" s="94"/>
      <c r="M43" s="94"/>
      <c r="N43" s="94"/>
      <c r="O43" s="94"/>
      <c r="P43" s="94"/>
      <c r="Q43" s="94"/>
      <c r="R43" s="94"/>
      <c r="S43" s="94"/>
      <c r="T43" s="94"/>
      <c r="U43" s="94"/>
    </row>
    <row r="44" spans="1:21">
      <c r="A44" s="94"/>
      <c r="B44" s="94"/>
      <c r="C44" s="94"/>
      <c r="D44" s="18">
        <v>178820</v>
      </c>
      <c r="E44" s="120" t="s">
        <v>4792</v>
      </c>
      <c r="F44" s="94"/>
      <c r="G44" s="94"/>
      <c r="H44" s="94"/>
      <c r="I44" s="94"/>
      <c r="J44" s="94"/>
      <c r="K44" s="94"/>
      <c r="L44" s="94"/>
      <c r="M44" s="94"/>
      <c r="N44" s="94"/>
      <c r="O44" s="94"/>
      <c r="P44" s="94"/>
      <c r="Q44" s="94"/>
      <c r="R44" s="94"/>
      <c r="S44" s="94"/>
      <c r="T44" s="94"/>
      <c r="U44" s="94"/>
    </row>
    <row r="45" spans="1:21">
      <c r="A45" s="94"/>
      <c r="B45" s="94"/>
      <c r="C45" s="94"/>
      <c r="D45" s="18">
        <v>382000</v>
      </c>
      <c r="E45" s="120" t="s">
        <v>4799</v>
      </c>
      <c r="F45" s="94"/>
      <c r="G45" s="94"/>
      <c r="H45" s="94"/>
      <c r="I45" s="94"/>
      <c r="J45" s="94"/>
      <c r="K45" s="94"/>
      <c r="L45" s="94"/>
      <c r="M45" s="94"/>
      <c r="N45" s="94"/>
      <c r="O45" s="94"/>
      <c r="P45" s="94"/>
      <c r="Q45" s="94"/>
      <c r="R45" s="94"/>
      <c r="S45" s="94"/>
      <c r="T45" s="94"/>
      <c r="U45" s="94"/>
    </row>
    <row r="46" spans="1:21">
      <c r="A46" s="94"/>
      <c r="B46" s="94"/>
      <c r="C46" s="94"/>
      <c r="D46" s="18">
        <v>-200000</v>
      </c>
      <c r="E46" s="120" t="s">
        <v>4800</v>
      </c>
      <c r="F46" s="94"/>
      <c r="G46" s="94"/>
      <c r="H46" s="94"/>
      <c r="I46" s="94"/>
      <c r="J46" s="94"/>
      <c r="K46" s="94"/>
      <c r="L46" s="94"/>
      <c r="M46" s="94"/>
      <c r="N46" s="94"/>
      <c r="O46" s="94"/>
      <c r="P46" s="94"/>
      <c r="Q46" s="94"/>
      <c r="R46" s="94"/>
      <c r="S46" s="94"/>
      <c r="T46" s="94"/>
      <c r="U46" s="94"/>
    </row>
    <row r="47" spans="1:21">
      <c r="A47" s="94"/>
      <c r="B47" s="94"/>
      <c r="C47" s="94"/>
      <c r="D47" s="18">
        <v>-2336075</v>
      </c>
      <c r="E47" s="120" t="s">
        <v>4803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4815</v>
      </c>
      <c r="F50" s="94"/>
      <c r="G50" s="94"/>
      <c r="H50" s="94"/>
      <c r="I50" s="94"/>
      <c r="J50" s="94"/>
      <c r="K50" s="94"/>
      <c r="L50" s="94"/>
      <c r="M50" s="94"/>
      <c r="N50" s="94"/>
      <c r="O50" s="94"/>
      <c r="P50" s="94"/>
      <c r="Q50" s="94"/>
      <c r="R50" s="94"/>
      <c r="S50" s="94"/>
      <c r="T50" s="94"/>
      <c r="U50" s="94"/>
    </row>
    <row r="51" spans="1:21">
      <c r="A51" s="94"/>
      <c r="B51" s="94"/>
      <c r="C51" s="94"/>
      <c r="D51" s="18">
        <v>-40000</v>
      </c>
      <c r="E51" s="120" t="s">
        <v>4816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4827</v>
      </c>
      <c r="F52" s="94"/>
      <c r="G52" s="94"/>
      <c r="H52" s="94"/>
      <c r="I52" s="94"/>
      <c r="J52" s="94"/>
      <c r="K52" s="94"/>
      <c r="L52" s="94"/>
      <c r="M52" s="94"/>
      <c r="N52" s="94"/>
      <c r="O52" s="94"/>
      <c r="P52" s="94"/>
      <c r="Q52" s="94"/>
      <c r="R52" s="94"/>
      <c r="S52" s="94"/>
      <c r="T52" s="94"/>
      <c r="U52" s="94"/>
    </row>
    <row r="53" spans="1:21">
      <c r="A53" s="94"/>
      <c r="B53" s="94"/>
      <c r="C53" s="94"/>
      <c r="D53" s="18">
        <v>160000</v>
      </c>
      <c r="E53" s="120" t="s">
        <v>4830</v>
      </c>
      <c r="F53" s="94"/>
      <c r="G53" s="94"/>
      <c r="H53" s="94"/>
      <c r="I53" s="94"/>
      <c r="J53" s="94"/>
      <c r="K53" s="94"/>
      <c r="L53" s="94"/>
      <c r="M53" s="94"/>
      <c r="N53" s="94"/>
      <c r="O53" s="94"/>
      <c r="P53" s="94"/>
      <c r="Q53" s="94"/>
      <c r="R53" s="94"/>
      <c r="S53" s="94"/>
      <c r="T53" s="94"/>
      <c r="U53" s="94"/>
    </row>
    <row r="54" spans="1:21">
      <c r="A54" s="94"/>
      <c r="B54" s="94"/>
      <c r="C54" s="94"/>
      <c r="D54" s="18">
        <v>-224012</v>
      </c>
      <c r="E54" s="120" t="s">
        <v>4866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4867</v>
      </c>
      <c r="F55" s="112"/>
      <c r="G55" s="41"/>
      <c r="H55" s="94"/>
      <c r="I55" s="94"/>
      <c r="J55" s="94"/>
      <c r="K55" s="94"/>
      <c r="L55" s="94"/>
      <c r="M55" s="94"/>
      <c r="N55" s="94"/>
      <c r="O55" s="94"/>
      <c r="P55" s="94"/>
      <c r="Q55" s="94"/>
      <c r="R55" s="94"/>
      <c r="S55" s="94"/>
      <c r="T55" s="94"/>
      <c r="U55" s="94"/>
    </row>
    <row r="56" spans="1:21">
      <c r="A56" s="94"/>
      <c r="B56" s="94"/>
      <c r="C56" s="94"/>
      <c r="D56" s="18">
        <v>1465000</v>
      </c>
      <c r="E56" s="120" t="s">
        <v>4874</v>
      </c>
      <c r="F56" s="112"/>
      <c r="G56" s="41"/>
      <c r="H56" s="94"/>
      <c r="I56" s="94"/>
      <c r="J56" s="94"/>
      <c r="K56" s="94"/>
      <c r="L56" s="94"/>
      <c r="M56" s="94"/>
      <c r="N56" s="94"/>
      <c r="O56" s="94"/>
      <c r="P56" s="94"/>
      <c r="Q56" s="94"/>
      <c r="R56" s="94"/>
      <c r="S56" s="94"/>
      <c r="T56" s="94"/>
      <c r="U56" s="94"/>
    </row>
    <row r="57" spans="1:21">
      <c r="A57" s="94"/>
      <c r="B57" s="94"/>
      <c r="C57" s="94"/>
      <c r="D57" s="18">
        <v>2600000</v>
      </c>
      <c r="E57" s="120" t="s">
        <v>4907</v>
      </c>
      <c r="F57" s="112"/>
      <c r="G57" s="41"/>
      <c r="H57" s="94"/>
      <c r="I57" s="94"/>
      <c r="J57" s="94"/>
      <c r="K57" s="94"/>
      <c r="L57" s="94"/>
      <c r="M57" s="94"/>
      <c r="N57" s="94"/>
      <c r="O57" s="94"/>
      <c r="P57" s="94"/>
      <c r="Q57" s="94"/>
      <c r="R57" s="94"/>
      <c r="S57" s="94"/>
      <c r="T57" s="94"/>
      <c r="U57" s="94"/>
    </row>
    <row r="58" spans="1:21">
      <c r="A58" s="94"/>
      <c r="B58" s="94"/>
      <c r="C58" s="94"/>
      <c r="D58" s="18">
        <v>-1170000</v>
      </c>
      <c r="E58" s="120" t="s">
        <v>4916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4915</v>
      </c>
      <c r="F59" s="112"/>
      <c r="G59" s="94"/>
      <c r="H59" s="94"/>
      <c r="I59" s="94"/>
      <c r="J59" s="94"/>
      <c r="K59" s="94"/>
      <c r="L59" s="94"/>
      <c r="M59" s="94"/>
      <c r="N59" s="94"/>
      <c r="O59" s="94"/>
      <c r="P59" s="94"/>
      <c r="Q59" s="94"/>
      <c r="R59" s="94"/>
      <c r="S59" s="94"/>
      <c r="T59" s="94"/>
      <c r="U59" s="94"/>
    </row>
    <row r="60" spans="1:21">
      <c r="A60" s="94"/>
      <c r="B60" s="94"/>
      <c r="C60" s="94"/>
      <c r="D60" s="18">
        <v>360000</v>
      </c>
      <c r="E60" s="120" t="s">
        <v>4923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4940</v>
      </c>
      <c r="F61" s="94"/>
      <c r="G61" s="94"/>
      <c r="H61" s="94"/>
      <c r="I61" s="94"/>
      <c r="J61" s="94"/>
      <c r="K61" s="94"/>
      <c r="L61" s="94"/>
      <c r="M61" s="94"/>
      <c r="N61" s="94"/>
      <c r="O61" s="94"/>
      <c r="P61" s="94"/>
      <c r="Q61" s="94"/>
      <c r="R61" s="94"/>
      <c r="S61" s="94"/>
      <c r="T61" s="94"/>
      <c r="U61" s="94"/>
    </row>
    <row r="62" spans="1:21">
      <c r="A62" s="94"/>
      <c r="B62" s="94"/>
      <c r="C62" s="94"/>
      <c r="D62" s="18">
        <v>-550000</v>
      </c>
      <c r="E62" s="247" t="s">
        <v>4943</v>
      </c>
      <c r="F62" s="94"/>
      <c r="G62" s="94"/>
      <c r="H62" s="94"/>
      <c r="I62" s="94"/>
      <c r="J62" s="94"/>
      <c r="K62" s="94"/>
      <c r="L62" s="94"/>
      <c r="M62" s="94"/>
      <c r="N62" s="94"/>
      <c r="O62" s="94"/>
      <c r="P62" s="94"/>
      <c r="Q62" s="94"/>
      <c r="R62" s="94"/>
      <c r="S62" s="94"/>
      <c r="T62" s="94"/>
      <c r="U62" s="94"/>
    </row>
    <row r="63" spans="1:21">
      <c r="A63" s="94"/>
      <c r="B63" s="94"/>
      <c r="C63" s="94"/>
      <c r="D63" s="18">
        <v>-850000</v>
      </c>
      <c r="E63" s="247" t="s">
        <v>4949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4953</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4958</v>
      </c>
      <c r="F65" s="94"/>
      <c r="G65" s="94"/>
      <c r="H65" s="94"/>
      <c r="I65" s="94"/>
      <c r="J65" s="94"/>
      <c r="K65" s="94"/>
      <c r="L65" s="94"/>
      <c r="M65" s="94"/>
      <c r="N65" s="94"/>
      <c r="O65" s="94"/>
      <c r="P65" s="94"/>
      <c r="Q65" s="94"/>
      <c r="R65" s="94"/>
      <c r="S65" s="94"/>
      <c r="T65" s="94"/>
      <c r="U65" s="94"/>
    </row>
    <row r="66" spans="1:21">
      <c r="A66" s="94"/>
      <c r="B66" s="94"/>
      <c r="C66" s="94"/>
      <c r="D66" s="18">
        <v>-2290500</v>
      </c>
      <c r="E66" s="247" t="s">
        <v>4959</v>
      </c>
      <c r="F66" s="94"/>
      <c r="G66" s="94"/>
      <c r="H66" s="94"/>
      <c r="I66" s="94"/>
      <c r="J66" s="94"/>
      <c r="K66" s="94"/>
      <c r="L66" s="94"/>
      <c r="M66" s="94"/>
      <c r="N66" s="94"/>
      <c r="O66" s="94"/>
      <c r="P66" s="94"/>
      <c r="Q66" s="94"/>
      <c r="R66" s="94"/>
      <c r="S66" s="94"/>
      <c r="T66" s="94"/>
      <c r="U66" s="94"/>
    </row>
    <row r="67" spans="1:21">
      <c r="A67" s="94"/>
      <c r="B67" s="94"/>
      <c r="C67" s="94"/>
      <c r="D67" s="18">
        <v>1700000</v>
      </c>
      <c r="E67" s="247" t="s">
        <v>4966</v>
      </c>
      <c r="F67" s="94"/>
      <c r="G67" s="94"/>
      <c r="H67" s="94"/>
      <c r="I67" s="94"/>
      <c r="J67" s="94"/>
      <c r="K67" s="94"/>
      <c r="L67" s="94"/>
      <c r="M67" s="94"/>
      <c r="N67" s="94"/>
      <c r="O67" s="94"/>
      <c r="P67" s="94"/>
      <c r="Q67" s="94"/>
      <c r="R67" s="94"/>
      <c r="S67" s="94"/>
      <c r="T67" s="94"/>
      <c r="U67" s="94"/>
    </row>
    <row r="68" spans="1:21">
      <c r="A68" s="94"/>
      <c r="B68" s="94"/>
      <c r="C68" s="94"/>
      <c r="D68" s="18">
        <v>-150000</v>
      </c>
      <c r="E68" s="247" t="s">
        <v>4971</v>
      </c>
      <c r="F68" s="94"/>
      <c r="G68" s="94"/>
      <c r="H68" s="94"/>
      <c r="I68" s="94"/>
      <c r="J68" s="94"/>
      <c r="K68" s="94"/>
      <c r="L68" s="94"/>
      <c r="M68" s="94"/>
      <c r="N68" s="94"/>
      <c r="O68" s="94"/>
      <c r="P68" s="94"/>
      <c r="Q68" s="94"/>
      <c r="R68" s="94"/>
      <c r="S68" s="94"/>
      <c r="T68" s="94"/>
      <c r="U68" s="94"/>
    </row>
    <row r="69" spans="1:21">
      <c r="A69" s="94"/>
      <c r="B69" s="94"/>
      <c r="C69" s="94"/>
      <c r="D69" s="18">
        <v>-550000</v>
      </c>
      <c r="E69" s="247" t="s">
        <v>4974</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4992</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5006</v>
      </c>
      <c r="F71" s="94"/>
      <c r="G71" s="94"/>
      <c r="H71" s="94"/>
      <c r="I71" s="94"/>
      <c r="J71" s="94"/>
      <c r="K71" s="94"/>
      <c r="L71" s="94"/>
      <c r="M71" s="94"/>
      <c r="N71" s="94"/>
      <c r="O71" s="94"/>
      <c r="P71" s="94"/>
      <c r="Q71" s="94"/>
      <c r="R71" s="94"/>
      <c r="S71" s="94"/>
      <c r="T71" s="94"/>
      <c r="U71" s="94"/>
    </row>
    <row r="72" spans="1:21">
      <c r="A72" s="94"/>
      <c r="B72" s="94"/>
      <c r="C72" s="94"/>
      <c r="D72" s="18">
        <v>1500000</v>
      </c>
      <c r="E72" s="247" t="s">
        <v>5007</v>
      </c>
      <c r="F72" s="94"/>
      <c r="G72" s="94"/>
      <c r="H72" s="94"/>
      <c r="I72" s="94"/>
      <c r="J72" s="94"/>
      <c r="K72" s="94"/>
      <c r="L72" s="94"/>
      <c r="M72" s="94"/>
      <c r="N72" s="94"/>
      <c r="O72" s="94"/>
      <c r="P72" s="94"/>
      <c r="Q72" s="94"/>
      <c r="R72" s="94"/>
      <c r="S72" s="94"/>
      <c r="T72" s="94"/>
      <c r="U72" s="94"/>
    </row>
    <row r="73" spans="1:21">
      <c r="A73" s="94"/>
      <c r="B73" s="94"/>
      <c r="C73" s="94"/>
      <c r="D73" s="18">
        <v>-550000</v>
      </c>
      <c r="E73" s="247" t="s">
        <v>5011</v>
      </c>
      <c r="F73" s="94"/>
      <c r="G73" s="94"/>
      <c r="H73" s="94"/>
      <c r="I73" s="94"/>
      <c r="J73" s="94"/>
      <c r="K73" s="94"/>
      <c r="L73" s="94"/>
      <c r="M73" s="94"/>
      <c r="N73" s="94"/>
      <c r="O73" s="94"/>
      <c r="P73" s="94"/>
      <c r="Q73" s="94"/>
      <c r="R73" s="94"/>
      <c r="S73" s="94"/>
      <c r="T73" s="94"/>
      <c r="U73" s="94"/>
    </row>
    <row r="74" spans="1:21">
      <c r="A74" s="94"/>
      <c r="B74" s="94"/>
      <c r="C74" s="94"/>
      <c r="D74" s="18">
        <v>-50000</v>
      </c>
      <c r="E74" s="247" t="s">
        <v>5012</v>
      </c>
      <c r="F74" s="94"/>
      <c r="G74" s="94"/>
      <c r="H74" s="94"/>
      <c r="I74" s="94"/>
      <c r="J74" s="94"/>
      <c r="K74" s="94"/>
      <c r="L74" s="94"/>
      <c r="M74" s="94"/>
      <c r="N74" s="94"/>
      <c r="O74" s="94"/>
      <c r="P74" s="94"/>
      <c r="Q74" s="94"/>
      <c r="R74" s="94"/>
      <c r="S74" s="94"/>
      <c r="T74" s="94"/>
      <c r="U74" s="94"/>
    </row>
    <row r="75" spans="1:21">
      <c r="A75" s="94"/>
      <c r="B75" s="94"/>
      <c r="C75" s="94"/>
      <c r="D75" s="18">
        <v>-60000</v>
      </c>
      <c r="E75" s="247" t="s">
        <v>5013</v>
      </c>
      <c r="F75" s="94"/>
      <c r="G75" s="94"/>
      <c r="H75" s="94"/>
      <c r="I75" s="94"/>
      <c r="J75" s="94"/>
      <c r="K75" s="94"/>
      <c r="L75" s="94"/>
      <c r="M75" s="94"/>
      <c r="N75" s="94"/>
      <c r="O75" s="94"/>
      <c r="P75" s="94"/>
      <c r="Q75" s="94"/>
      <c r="R75" s="94"/>
      <c r="S75" s="94"/>
      <c r="T75" s="94"/>
      <c r="U75" s="94"/>
    </row>
    <row r="76" spans="1:21">
      <c r="A76" s="94"/>
      <c r="B76" s="94"/>
      <c r="C76" s="94"/>
      <c r="D76" s="18">
        <v>-43000</v>
      </c>
      <c r="E76" s="247" t="s">
        <v>5021</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5028</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5029</v>
      </c>
      <c r="F78" s="94"/>
      <c r="G78" s="94"/>
      <c r="H78" s="94"/>
      <c r="I78" s="94"/>
      <c r="J78" s="94"/>
      <c r="K78" s="94"/>
      <c r="L78" s="94"/>
      <c r="M78" s="94"/>
      <c r="N78" s="94"/>
      <c r="O78" s="94"/>
      <c r="P78" s="94"/>
      <c r="Q78" s="94"/>
      <c r="R78" s="94"/>
      <c r="S78" s="94"/>
      <c r="T78" s="94"/>
      <c r="U78" s="94"/>
    </row>
    <row r="79" spans="1:21">
      <c r="A79" s="94"/>
      <c r="B79" s="94"/>
      <c r="C79" s="94"/>
      <c r="D79" s="18">
        <v>-750000</v>
      </c>
      <c r="E79" s="247" t="s">
        <v>5035</v>
      </c>
      <c r="F79" s="94"/>
      <c r="G79" s="94"/>
      <c r="H79" s="94"/>
      <c r="I79" s="94"/>
      <c r="J79" s="94"/>
      <c r="K79" s="94"/>
      <c r="L79" s="94"/>
      <c r="M79" s="94"/>
      <c r="N79" s="94"/>
      <c r="O79" s="94"/>
      <c r="P79" s="94"/>
      <c r="Q79" s="94"/>
      <c r="R79" s="94"/>
      <c r="S79" s="94"/>
      <c r="T79" s="94"/>
      <c r="U79" s="94"/>
    </row>
    <row r="80" spans="1:21">
      <c r="A80" s="94"/>
      <c r="B80" s="94"/>
      <c r="C80" s="94"/>
      <c r="D80" s="18">
        <v>50000</v>
      </c>
      <c r="E80" s="247" t="s">
        <v>5047</v>
      </c>
      <c r="F80" s="94"/>
      <c r="G80" s="94"/>
      <c r="H80" s="94"/>
      <c r="I80" s="94"/>
      <c r="J80" s="94"/>
      <c r="K80" s="94"/>
      <c r="L80" s="94"/>
      <c r="M80" s="94"/>
      <c r="N80" s="94"/>
      <c r="O80" s="94"/>
      <c r="P80" s="94"/>
      <c r="Q80" s="94"/>
      <c r="R80" s="94"/>
      <c r="S80" s="94"/>
      <c r="T80" s="94"/>
      <c r="U80" s="94"/>
    </row>
    <row r="81" spans="1:21">
      <c r="A81" s="94"/>
      <c r="B81" s="94"/>
      <c r="C81" s="94"/>
      <c r="D81" s="18">
        <v>500000</v>
      </c>
      <c r="E81" s="247" t="s">
        <v>5061</v>
      </c>
      <c r="F81" s="94"/>
      <c r="G81" s="94"/>
      <c r="H81" s="94"/>
      <c r="I81" s="94"/>
      <c r="J81" s="94"/>
      <c r="K81" s="94"/>
      <c r="L81" s="94"/>
      <c r="M81" s="94"/>
      <c r="N81" s="94"/>
      <c r="O81" s="94"/>
      <c r="P81" s="94"/>
      <c r="Q81" s="94"/>
      <c r="R81" s="94"/>
      <c r="S81" s="94"/>
      <c r="T81" s="94"/>
      <c r="U81" s="94"/>
    </row>
    <row r="82" spans="1:21">
      <c r="A82" s="94"/>
      <c r="B82" s="94"/>
      <c r="C82" s="94"/>
      <c r="D82" s="18">
        <v>1500000</v>
      </c>
      <c r="E82" s="247" t="s">
        <v>5060</v>
      </c>
      <c r="F82" s="94"/>
      <c r="G82" s="94"/>
      <c r="H82" s="94"/>
      <c r="I82" s="94"/>
      <c r="J82" s="94"/>
      <c r="K82" s="94"/>
      <c r="L82" s="94"/>
      <c r="M82" s="94"/>
      <c r="N82" s="94"/>
      <c r="O82" s="94"/>
      <c r="P82" s="94"/>
      <c r="Q82" s="94"/>
      <c r="R82" s="94"/>
      <c r="S82" s="94"/>
      <c r="T82" s="94"/>
      <c r="U82" s="94"/>
    </row>
    <row r="83" spans="1:21">
      <c r="D83" s="18">
        <v>-510000</v>
      </c>
      <c r="E83" s="247" t="s">
        <v>5062</v>
      </c>
      <c r="H83" t="s">
        <v>25</v>
      </c>
    </row>
    <row r="84" spans="1:21">
      <c r="D84" s="18">
        <v>-400000</v>
      </c>
      <c r="E84" s="247" t="s">
        <v>5076</v>
      </c>
    </row>
    <row r="85" spans="1:21">
      <c r="D85" s="18">
        <v>250000</v>
      </c>
      <c r="E85" s="247" t="s">
        <v>5082</v>
      </c>
    </row>
    <row r="86" spans="1:21">
      <c r="D86" s="18">
        <v>-50000</v>
      </c>
      <c r="E86" s="247" t="s">
        <v>5083</v>
      </c>
    </row>
    <row r="87" spans="1:21">
      <c r="D87" s="18">
        <v>-300000</v>
      </c>
      <c r="E87" s="247" t="s">
        <v>5087</v>
      </c>
    </row>
    <row r="88" spans="1:21">
      <c r="D88" s="18">
        <v>-100000</v>
      </c>
      <c r="E88" s="247" t="s">
        <v>5101</v>
      </c>
      <c r="I88" t="s">
        <v>25</v>
      </c>
    </row>
    <row r="89" spans="1:21">
      <c r="D89" s="18">
        <v>-250000</v>
      </c>
      <c r="E89" s="247" t="s">
        <v>5113</v>
      </c>
    </row>
    <row r="90" spans="1:21">
      <c r="D90" s="18">
        <v>-45000</v>
      </c>
      <c r="E90" s="247" t="s">
        <v>5136</v>
      </c>
    </row>
    <row r="91" spans="1:21">
      <c r="D91" s="18">
        <v>3000000</v>
      </c>
      <c r="E91" s="247" t="s">
        <v>5137</v>
      </c>
      <c r="I91" t="s">
        <v>25</v>
      </c>
    </row>
    <row r="92" spans="1:21">
      <c r="D92" s="18">
        <v>-550000</v>
      </c>
      <c r="E92" s="247" t="s">
        <v>5138</v>
      </c>
    </row>
    <row r="93" spans="1:21">
      <c r="D93" s="18">
        <v>-200000</v>
      </c>
      <c r="E93" s="247" t="s">
        <v>5152</v>
      </c>
      <c r="G93" t="s">
        <v>25</v>
      </c>
    </row>
    <row r="94" spans="1:21">
      <c r="D94" s="18">
        <v>-30500</v>
      </c>
      <c r="E94" s="247" t="s">
        <v>5153</v>
      </c>
    </row>
    <row r="95" spans="1:21">
      <c r="D95" s="18">
        <v>2500000</v>
      </c>
      <c r="E95" s="247" t="s">
        <v>5187</v>
      </c>
      <c r="I95" t="s">
        <v>25</v>
      </c>
    </row>
    <row r="96" spans="1:21">
      <c r="D96" s="18">
        <v>-230000</v>
      </c>
      <c r="E96" s="247" t="s">
        <v>5193</v>
      </c>
    </row>
    <row r="97" spans="4:10">
      <c r="D97" s="18">
        <v>-168950</v>
      </c>
      <c r="E97" s="247" t="s">
        <v>4380</v>
      </c>
      <c r="J97" t="s">
        <v>25</v>
      </c>
    </row>
    <row r="98" spans="4:10">
      <c r="D98" s="18">
        <v>-250000</v>
      </c>
      <c r="E98" s="247" t="s">
        <v>5204</v>
      </c>
    </row>
    <row r="99" spans="4:10">
      <c r="D99" s="18">
        <v>500000</v>
      </c>
      <c r="E99" s="247" t="s">
        <v>5216</v>
      </c>
    </row>
    <row r="100" spans="4:10">
      <c r="D100" s="18">
        <v>-520000</v>
      </c>
      <c r="E100" s="247" t="s">
        <v>5215</v>
      </c>
      <c r="J100" t="s">
        <v>25</v>
      </c>
    </row>
    <row r="101" spans="4:10">
      <c r="D101" s="18">
        <v>500000</v>
      </c>
      <c r="E101" s="247" t="s">
        <v>5226</v>
      </c>
    </row>
    <row r="102" spans="4:10">
      <c r="D102" s="18">
        <v>-200000</v>
      </c>
      <c r="E102" s="247" t="s">
        <v>5230</v>
      </c>
    </row>
    <row r="103" spans="4:10">
      <c r="D103" s="18">
        <v>-300000</v>
      </c>
      <c r="E103" s="247" t="s">
        <v>5231</v>
      </c>
    </row>
    <row r="104" spans="4:10">
      <c r="D104" s="18">
        <v>-530000</v>
      </c>
      <c r="E104" s="247" t="s">
        <v>5249</v>
      </c>
    </row>
    <row r="105" spans="4:10">
      <c r="D105" s="18">
        <v>-550000</v>
      </c>
      <c r="E105" s="247" t="s">
        <v>5251</v>
      </c>
    </row>
    <row r="106" spans="4:10">
      <c r="D106" s="18">
        <v>-200000</v>
      </c>
      <c r="E106" s="247" t="s">
        <v>5275</v>
      </c>
    </row>
    <row r="107" spans="4:10">
      <c r="D107" s="18">
        <v>-1600000</v>
      </c>
      <c r="E107" s="247" t="s">
        <v>5277</v>
      </c>
      <c r="G107" t="s">
        <v>25</v>
      </c>
    </row>
    <row r="108" spans="4:10">
      <c r="D108" s="18">
        <v>1600000</v>
      </c>
      <c r="E108" s="247" t="s">
        <v>5284</v>
      </c>
    </row>
    <row r="109" spans="4:10">
      <c r="D109" s="18">
        <v>-550000</v>
      </c>
      <c r="E109" s="247" t="s">
        <v>5287</v>
      </c>
    </row>
    <row r="110" spans="4:10">
      <c r="D110" s="18">
        <v>-15000</v>
      </c>
      <c r="E110" s="247" t="s">
        <v>5292</v>
      </c>
    </row>
    <row r="111" spans="4:10">
      <c r="D111" s="18">
        <v>-325000</v>
      </c>
      <c r="E111" s="247" t="s">
        <v>5309</v>
      </c>
    </row>
    <row r="112" spans="4:10">
      <c r="D112" s="18">
        <v>-130000</v>
      </c>
      <c r="E112" s="247" t="s">
        <v>5310</v>
      </c>
    </row>
    <row r="113" spans="4:10">
      <c r="D113" s="18">
        <v>-250000</v>
      </c>
      <c r="E113" s="247" t="s">
        <v>5319</v>
      </c>
      <c r="J113" t="s">
        <v>25</v>
      </c>
    </row>
    <row r="114" spans="4:10">
      <c r="D114" s="18">
        <v>-750000</v>
      </c>
      <c r="E114" s="247" t="s">
        <v>5322</v>
      </c>
    </row>
    <row r="115" spans="4:10">
      <c r="D115" s="18">
        <v>250000</v>
      </c>
      <c r="E115" s="247" t="s">
        <v>5329</v>
      </c>
    </row>
    <row r="116" spans="4:10">
      <c r="D116" s="18">
        <v>-2100000</v>
      </c>
      <c r="E116" s="247" t="s">
        <v>5343</v>
      </c>
    </row>
    <row r="117" spans="4:10">
      <c r="D117" s="18">
        <v>-1000000</v>
      </c>
      <c r="E117" s="247" t="s">
        <v>5352</v>
      </c>
    </row>
    <row r="118" spans="4:10">
      <c r="D118" s="18">
        <v>-100000</v>
      </c>
      <c r="E118" s="247" t="s">
        <v>5353</v>
      </c>
    </row>
    <row r="119" spans="4:10">
      <c r="D119" s="18">
        <v>-550000</v>
      </c>
      <c r="E119" s="247" t="s">
        <v>5383</v>
      </c>
    </row>
    <row r="120" spans="4:10">
      <c r="D120" s="18">
        <v>-550000</v>
      </c>
      <c r="E120" s="247" t="s">
        <v>5384</v>
      </c>
    </row>
    <row r="121" spans="4:10">
      <c r="D121" s="18">
        <v>-390000</v>
      </c>
      <c r="E121" s="247" t="s">
        <v>5413</v>
      </c>
      <c r="H121" t="s">
        <v>25</v>
      </c>
      <c r="J121" t="s">
        <v>25</v>
      </c>
    </row>
    <row r="122" spans="4:10">
      <c r="D122" s="18">
        <v>2432520</v>
      </c>
      <c r="E122" s="247" t="s">
        <v>5414</v>
      </c>
    </row>
    <row r="123" spans="4:10">
      <c r="D123" s="18">
        <v>8000000</v>
      </c>
      <c r="E123" s="247" t="s">
        <v>5429</v>
      </c>
    </row>
    <row r="124" spans="4:10">
      <c r="D124" s="18">
        <v>-83930</v>
      </c>
      <c r="E124" s="247" t="s">
        <v>5438</v>
      </c>
    </row>
    <row r="125" spans="4:10">
      <c r="D125" s="18">
        <v>1000000</v>
      </c>
      <c r="E125" s="247" t="s">
        <v>5485</v>
      </c>
    </row>
    <row r="126" spans="4:10">
      <c r="D126" s="18">
        <v>-1333333</v>
      </c>
      <c r="E126" s="247" t="s">
        <v>5486</v>
      </c>
      <c r="J126" t="s">
        <v>25</v>
      </c>
    </row>
    <row r="127" spans="4:10">
      <c r="D127" s="18">
        <v>-1050000</v>
      </c>
      <c r="E127" s="247" t="s">
        <v>5506</v>
      </c>
    </row>
    <row r="128" spans="4:10">
      <c r="D128" s="18">
        <v>-2000000</v>
      </c>
      <c r="E128" s="247" t="s">
        <v>5518</v>
      </c>
      <c r="I128" t="s">
        <v>25</v>
      </c>
    </row>
    <row r="129" spans="4:5">
      <c r="D129" s="18">
        <v>-250000</v>
      </c>
      <c r="E129" s="247" t="s">
        <v>5527</v>
      </c>
    </row>
    <row r="130" spans="4:5">
      <c r="D130" s="18">
        <v>-550000</v>
      </c>
      <c r="E130" s="247" t="s">
        <v>5535</v>
      </c>
    </row>
    <row r="131" spans="4:5">
      <c r="D131" s="18">
        <v>210000</v>
      </c>
      <c r="E131" s="247" t="s">
        <v>5536</v>
      </c>
    </row>
    <row r="132" spans="4:5">
      <c r="D132" s="18">
        <v>-724200</v>
      </c>
      <c r="E132" s="247" t="s">
        <v>5577</v>
      </c>
    </row>
    <row r="133" spans="4:5">
      <c r="D133" s="18">
        <v>-400000</v>
      </c>
      <c r="E133" s="247" t="s">
        <v>5588</v>
      </c>
    </row>
    <row r="134" spans="4:5">
      <c r="D134" s="18">
        <v>-550000</v>
      </c>
      <c r="E134" s="247" t="s">
        <v>5601</v>
      </c>
    </row>
    <row r="135" spans="4:5">
      <c r="D135" s="18">
        <v>-2167000</v>
      </c>
      <c r="E135" s="247" t="s">
        <v>5608</v>
      </c>
    </row>
    <row r="136" spans="4:5">
      <c r="D136" s="18">
        <v>-125000</v>
      </c>
      <c r="E136" s="247" t="s">
        <v>5617</v>
      </c>
    </row>
    <row r="137" spans="4:5">
      <c r="D137" s="18">
        <v>-200000</v>
      </c>
      <c r="E137" s="247" t="s">
        <v>5630</v>
      </c>
    </row>
    <row r="138" spans="4:5">
      <c r="D138" s="18">
        <v>-2000000</v>
      </c>
      <c r="E138" s="247" t="s">
        <v>5646</v>
      </c>
    </row>
    <row r="139" spans="4:5">
      <c r="D139" s="18">
        <v>-1287000</v>
      </c>
      <c r="E139" s="247" t="s">
        <v>5653</v>
      </c>
    </row>
    <row r="140" spans="4:5">
      <c r="D140" s="18">
        <v>-2000000</v>
      </c>
      <c r="E140" s="247" t="s">
        <v>5662</v>
      </c>
    </row>
    <row r="141" spans="4:5">
      <c r="D141" s="18">
        <v>-2500000</v>
      </c>
      <c r="E141" s="247" t="s">
        <v>5663</v>
      </c>
    </row>
    <row r="142" spans="4:5">
      <c r="D142" s="18">
        <v>-500000</v>
      </c>
      <c r="E142" s="247" t="s">
        <v>5679</v>
      </c>
    </row>
    <row r="143" spans="4:5">
      <c r="D143" s="18">
        <v>-83930</v>
      </c>
      <c r="E143" s="247" t="s">
        <v>5697</v>
      </c>
    </row>
    <row r="144" spans="4:5">
      <c r="D144" s="18">
        <v>-550000</v>
      </c>
      <c r="E144" s="247" t="s">
        <v>5696</v>
      </c>
    </row>
    <row r="145" spans="4:9">
      <c r="D145" s="18">
        <v>-25000</v>
      </c>
      <c r="E145" s="247" t="s">
        <v>5727</v>
      </c>
      <c r="I145" t="s">
        <v>25</v>
      </c>
    </row>
    <row r="146" spans="4:9">
      <c r="D146" s="18"/>
      <c r="E146" s="247"/>
      <c r="G146" t="s">
        <v>25</v>
      </c>
    </row>
    <row r="147" spans="4:9">
      <c r="D147" s="18"/>
      <c r="E147" s="247"/>
    </row>
    <row r="148" spans="4:9">
      <c r="D148" s="18"/>
      <c r="E148" s="247"/>
    </row>
    <row r="149" spans="4:9">
      <c r="D149" s="18"/>
      <c r="E149" s="247"/>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13134586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4465</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4466</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4466</v>
      </c>
      <c r="B25" s="18">
        <v>-100500</v>
      </c>
      <c r="C25" s="18">
        <v>0</v>
      </c>
      <c r="D25" s="111">
        <f t="shared" si="0"/>
        <v>-100500</v>
      </c>
      <c r="E25" s="19" t="s">
        <v>4468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4466</v>
      </c>
      <c r="B26" s="18">
        <v>-68670</v>
      </c>
      <c r="C26" s="18">
        <v>0</v>
      </c>
      <c r="D26" s="111">
        <f t="shared" si="0"/>
        <v>-68670</v>
      </c>
      <c r="E26" s="19" t="s">
        <v>4472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4469</v>
      </c>
      <c r="B27" s="18">
        <v>-118600</v>
      </c>
      <c r="C27" s="18">
        <v>0</v>
      </c>
      <c r="D27" s="111">
        <f t="shared" si="0"/>
        <v>-118600</v>
      </c>
      <c r="E27" s="19" t="s">
        <v>4474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4479</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4479</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4479</v>
      </c>
      <c r="B30" s="18">
        <v>-389000</v>
      </c>
      <c r="C30" s="18">
        <v>0</v>
      </c>
      <c r="D30" s="111">
        <f t="shared" si="0"/>
        <v>-389000</v>
      </c>
      <c r="E30" s="19" t="s">
        <v>4481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4464</v>
      </c>
      <c r="F50" s="94"/>
      <c r="G50" s="94"/>
      <c r="H50" s="94"/>
      <c r="I50" s="94"/>
      <c r="J50" s="94"/>
      <c r="K50" s="94"/>
      <c r="L50" s="94"/>
      <c r="M50" s="94"/>
      <c r="N50" s="94"/>
      <c r="O50" s="94"/>
      <c r="P50" s="94"/>
      <c r="Q50" s="94"/>
      <c r="R50" s="94"/>
      <c r="S50" s="94"/>
      <c r="T50" s="94"/>
    </row>
    <row r="51" spans="1:20">
      <c r="A51" s="94"/>
      <c r="B51" s="94"/>
      <c r="C51" s="94"/>
      <c r="D51" s="112">
        <v>100500</v>
      </c>
      <c r="E51" s="52" t="s">
        <v>4468</v>
      </c>
      <c r="F51" s="94"/>
      <c r="G51" s="94"/>
      <c r="H51" s="94"/>
      <c r="I51" s="94"/>
      <c r="J51" s="94"/>
      <c r="K51" s="94"/>
      <c r="L51" s="94"/>
      <c r="M51" s="94"/>
      <c r="N51" s="94"/>
      <c r="O51" s="94"/>
      <c r="P51" s="94"/>
      <c r="Q51" s="94"/>
      <c r="R51" s="94"/>
      <c r="S51" s="94"/>
      <c r="T51" s="94"/>
    </row>
    <row r="52" spans="1:20">
      <c r="A52" s="94"/>
      <c r="B52" s="94"/>
      <c r="C52" s="94"/>
      <c r="D52" s="112">
        <v>68670</v>
      </c>
      <c r="E52" s="52" t="s">
        <v>4473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4480</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4504</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4508</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4508</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4511</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4511</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4514</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4517</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4517</v>
      </c>
      <c r="B11" s="18">
        <v>-1287000</v>
      </c>
      <c r="C11" s="18">
        <v>0</v>
      </c>
      <c r="D11" s="111">
        <f t="shared" si="0"/>
        <v>-1287000</v>
      </c>
      <c r="E11" s="19" t="s">
        <v>4518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4514</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4515</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4525</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4528</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4529</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4531</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4538</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4541</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4465</v>
      </c>
      <c r="B23" s="18">
        <v>-2010700</v>
      </c>
      <c r="C23" s="18">
        <v>0</v>
      </c>
      <c r="D23" s="111">
        <f t="shared" si="0"/>
        <v>-2010700</v>
      </c>
      <c r="E23" s="19" t="s">
        <v>4551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4550</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4554</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4559</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4563</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4563</v>
      </c>
      <c r="B29" s="18">
        <v>-77315</v>
      </c>
      <c r="C29" s="18">
        <v>0</v>
      </c>
      <c r="D29" s="111">
        <f t="shared" si="0"/>
        <v>-77315</v>
      </c>
      <c r="E29" s="19" t="s">
        <v>4565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4567</v>
      </c>
      <c r="B30" s="18">
        <v>-66850</v>
      </c>
      <c r="C30" s="18">
        <v>0</v>
      </c>
      <c r="D30" s="111">
        <f t="shared" si="0"/>
        <v>-66850</v>
      </c>
      <c r="E30" s="19" t="s">
        <v>4570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4567</v>
      </c>
      <c r="B31" s="166">
        <v>-30000</v>
      </c>
      <c r="C31" s="166">
        <v>0</v>
      </c>
      <c r="D31" s="166">
        <f>B31-C31</f>
        <v>-30000</v>
      </c>
      <c r="E31" s="166" t="s">
        <v>4569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4506</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4510</v>
      </c>
      <c r="F40" s="94"/>
      <c r="G40" s="94"/>
      <c r="H40" s="94"/>
      <c r="I40" s="94"/>
      <c r="J40" s="94"/>
      <c r="K40" s="94"/>
      <c r="L40" s="94"/>
      <c r="M40" s="94"/>
      <c r="N40" s="94"/>
      <c r="O40" s="94"/>
      <c r="P40" s="94"/>
      <c r="Q40" s="94"/>
      <c r="R40" s="94"/>
      <c r="S40" s="94"/>
    </row>
    <row r="41" spans="1:19" ht="24.75" customHeight="1">
      <c r="A41" s="94"/>
      <c r="B41" s="94"/>
      <c r="C41" s="94"/>
      <c r="D41" s="18">
        <v>3576</v>
      </c>
      <c r="E41" s="120" t="s">
        <v>4512</v>
      </c>
      <c r="F41" s="94"/>
      <c r="G41" s="94"/>
      <c r="H41" s="94"/>
      <c r="I41" s="94"/>
      <c r="J41" s="94"/>
      <c r="K41" s="94"/>
      <c r="L41" s="94"/>
      <c r="M41" s="94"/>
      <c r="N41" s="94"/>
      <c r="O41" s="94"/>
      <c r="P41" s="94"/>
      <c r="Q41" s="94"/>
      <c r="R41" s="94"/>
      <c r="S41" s="94"/>
    </row>
    <row r="42" spans="1:19" ht="30.75" customHeight="1">
      <c r="A42" s="94"/>
      <c r="B42" s="94"/>
      <c r="C42" s="94"/>
      <c r="D42" s="18">
        <v>-400000</v>
      </c>
      <c r="E42" s="120" t="s">
        <v>4513</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4519</v>
      </c>
      <c r="F44" s="94"/>
      <c r="G44" s="94"/>
      <c r="H44" s="94"/>
      <c r="I44" s="94"/>
      <c r="J44" s="94"/>
      <c r="K44" s="94"/>
      <c r="L44" s="94"/>
      <c r="M44" s="94"/>
      <c r="N44" s="94"/>
      <c r="O44" s="94"/>
      <c r="P44" s="94"/>
      <c r="Q44" s="94"/>
      <c r="R44" s="94"/>
      <c r="S44" s="94"/>
    </row>
    <row r="45" spans="1:19" ht="24.75" customHeight="1">
      <c r="A45" s="94"/>
      <c r="B45" s="94"/>
      <c r="C45" s="94"/>
      <c r="D45" s="18">
        <v>-200000</v>
      </c>
      <c r="E45" s="120" t="s">
        <v>4526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4560</v>
      </c>
      <c r="F47" s="94" t="s">
        <v>25</v>
      </c>
      <c r="G47" s="94"/>
      <c r="H47" s="94"/>
      <c r="I47" s="94"/>
      <c r="J47" s="94"/>
      <c r="K47" s="94"/>
      <c r="L47" s="94"/>
      <c r="M47" s="94"/>
      <c r="N47" s="94"/>
      <c r="O47" s="94"/>
      <c r="P47" s="94"/>
      <c r="Q47" s="94"/>
      <c r="R47" s="94"/>
      <c r="S47" s="94"/>
    </row>
    <row r="48" spans="1:19">
      <c r="A48" s="94"/>
      <c r="B48" s="94"/>
      <c r="C48" s="94"/>
      <c r="D48" s="18">
        <v>49315</v>
      </c>
      <c r="E48" s="120" t="s">
        <v>4566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4573</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4586</v>
      </c>
      <c r="B5" s="18">
        <v>-200000</v>
      </c>
      <c r="C5" s="18">
        <v>0</v>
      </c>
      <c r="D5" s="111">
        <f t="shared" si="0"/>
        <v>-200000</v>
      </c>
      <c r="E5" s="20" t="s">
        <v>4583</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4596</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4598</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4598</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4598</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4598</v>
      </c>
      <c r="B10" s="18">
        <v>-51400</v>
      </c>
      <c r="C10" s="18">
        <v>0</v>
      </c>
      <c r="D10" s="111">
        <f t="shared" si="0"/>
        <v>-51400</v>
      </c>
      <c r="E10" s="19" t="s">
        <v>4604</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4607</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4607</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4619</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4619</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4619</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4629</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4635</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4635</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4644</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4637</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4638</v>
      </c>
      <c r="B22" s="18">
        <v>-324747</v>
      </c>
      <c r="C22" s="18">
        <v>0</v>
      </c>
      <c r="D22" s="111">
        <f t="shared" si="0"/>
        <v>-324747</v>
      </c>
      <c r="E22" s="19" t="s">
        <v>4645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4652</v>
      </c>
      <c r="B23" s="18">
        <v>-297992</v>
      </c>
      <c r="C23" s="18">
        <v>0</v>
      </c>
      <c r="D23" s="111">
        <f t="shared" si="0"/>
        <v>-297992</v>
      </c>
      <c r="E23" s="19" t="s">
        <v>4653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4660</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4579</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4580</v>
      </c>
      <c r="F40" s="94"/>
      <c r="G40" s="94"/>
      <c r="H40" s="94"/>
      <c r="I40" s="94"/>
      <c r="J40" s="94"/>
      <c r="K40" s="94"/>
      <c r="L40" s="94"/>
      <c r="M40" s="94"/>
      <c r="N40" s="94"/>
      <c r="O40" s="94"/>
      <c r="P40" s="94"/>
      <c r="Q40" s="94"/>
      <c r="R40" s="94"/>
      <c r="S40" s="94"/>
    </row>
    <row r="41" spans="1:19">
      <c r="A41" s="94"/>
      <c r="B41" s="94"/>
      <c r="C41" s="94"/>
      <c r="D41" s="18">
        <v>47848</v>
      </c>
      <c r="E41" s="120" t="s">
        <v>4584</v>
      </c>
      <c r="F41" s="94"/>
      <c r="G41" s="94"/>
      <c r="H41" s="94"/>
      <c r="I41" s="94"/>
      <c r="J41" s="94"/>
      <c r="K41" s="94"/>
      <c r="L41" s="94"/>
      <c r="M41" s="94"/>
      <c r="N41" s="94"/>
      <c r="O41" s="94"/>
      <c r="P41" s="94"/>
      <c r="Q41" s="94"/>
      <c r="R41" s="94"/>
      <c r="S41" s="94"/>
    </row>
    <row r="42" spans="1:19">
      <c r="A42" s="94"/>
      <c r="B42" s="94"/>
      <c r="C42" s="94"/>
      <c r="D42" s="18">
        <v>200000</v>
      </c>
      <c r="E42" s="120" t="s">
        <v>4585</v>
      </c>
      <c r="F42" s="94"/>
      <c r="G42" s="94"/>
      <c r="H42" s="94"/>
      <c r="I42" s="94"/>
      <c r="J42" s="94"/>
      <c r="K42" s="94"/>
      <c r="L42" s="94"/>
      <c r="M42" s="94"/>
      <c r="N42" s="94"/>
      <c r="O42" s="94"/>
      <c r="P42" s="94"/>
      <c r="Q42" s="94"/>
      <c r="R42" s="94"/>
      <c r="S42" s="94"/>
    </row>
    <row r="43" spans="1:19">
      <c r="A43" s="94"/>
      <c r="B43" s="94"/>
      <c r="C43" s="94"/>
      <c r="D43" s="18">
        <v>60460</v>
      </c>
      <c r="E43" s="120" t="s">
        <v>4600</v>
      </c>
      <c r="F43" s="94"/>
      <c r="G43" s="94"/>
      <c r="H43" s="94"/>
      <c r="I43" s="94"/>
      <c r="J43" s="94"/>
      <c r="K43" s="94"/>
      <c r="L43" s="94"/>
      <c r="M43" s="94"/>
      <c r="N43" s="94"/>
      <c r="O43" s="94"/>
      <c r="P43" s="94"/>
      <c r="Q43" s="94"/>
      <c r="R43" s="94"/>
      <c r="S43" s="94"/>
    </row>
    <row r="44" spans="1:19">
      <c r="A44" s="94"/>
      <c r="B44" s="94"/>
      <c r="C44" s="94"/>
      <c r="D44" s="18">
        <v>-2400000</v>
      </c>
      <c r="E44" s="120" t="s">
        <v>4601</v>
      </c>
      <c r="F44" s="94"/>
      <c r="G44" s="94"/>
      <c r="H44" s="94"/>
      <c r="I44" s="94"/>
      <c r="J44" s="94"/>
      <c r="K44" s="94"/>
      <c r="L44" s="94"/>
      <c r="M44" s="94"/>
      <c r="N44" s="94"/>
      <c r="O44" s="94"/>
      <c r="P44" s="94"/>
      <c r="Q44" s="94"/>
      <c r="R44" s="94"/>
      <c r="S44" s="94"/>
    </row>
    <row r="45" spans="1:19">
      <c r="A45" s="94"/>
      <c r="B45" s="94"/>
      <c r="C45" s="94"/>
      <c r="D45" s="18">
        <v>135487</v>
      </c>
      <c r="E45" s="120" t="s">
        <v>4602</v>
      </c>
      <c r="F45" s="94"/>
      <c r="G45" s="94" t="s">
        <v>25</v>
      </c>
      <c r="H45" s="94"/>
      <c r="I45" s="94"/>
      <c r="J45" s="94"/>
      <c r="K45" s="94"/>
      <c r="L45" s="94"/>
      <c r="M45" s="94"/>
      <c r="N45" s="94"/>
      <c r="O45" s="94"/>
      <c r="P45" s="94"/>
      <c r="Q45" s="94"/>
      <c r="R45" s="94"/>
      <c r="S45" s="94"/>
    </row>
    <row r="46" spans="1:19">
      <c r="A46" s="94"/>
      <c r="B46" s="94"/>
      <c r="C46" s="94"/>
      <c r="D46" s="18">
        <v>347153</v>
      </c>
      <c r="E46" s="120" t="s">
        <v>4603</v>
      </c>
      <c r="F46" s="94"/>
      <c r="G46" s="94" t="s">
        <v>25</v>
      </c>
      <c r="H46" s="94"/>
      <c r="I46" s="94"/>
      <c r="J46" s="94"/>
      <c r="K46" s="94"/>
      <c r="L46" s="94"/>
      <c r="M46" s="94"/>
      <c r="N46" s="94"/>
      <c r="O46" s="94"/>
      <c r="P46" s="94"/>
      <c r="Q46" s="94"/>
      <c r="R46" s="94"/>
      <c r="S46" s="94"/>
    </row>
    <row r="47" spans="1:19">
      <c r="A47" s="94"/>
      <c r="B47" s="94"/>
      <c r="C47" s="94"/>
      <c r="D47" s="18">
        <v>51400</v>
      </c>
      <c r="E47" s="120" t="s">
        <v>4604</v>
      </c>
      <c r="F47" s="94" t="s">
        <v>25</v>
      </c>
      <c r="G47" s="94"/>
      <c r="H47" s="94"/>
      <c r="I47" s="94"/>
      <c r="J47" s="94"/>
      <c r="K47" s="94"/>
      <c r="L47" s="94"/>
      <c r="M47" s="94"/>
      <c r="N47" s="94"/>
      <c r="O47" s="94"/>
      <c r="P47" s="94"/>
      <c r="Q47" s="94"/>
      <c r="R47" s="94"/>
      <c r="S47" s="94"/>
    </row>
    <row r="48" spans="1:19">
      <c r="A48" s="94"/>
      <c r="B48" s="94"/>
      <c r="C48" s="94"/>
      <c r="D48" s="18">
        <v>-200000</v>
      </c>
      <c r="E48" s="120" t="s">
        <v>4608</v>
      </c>
      <c r="F48" s="94"/>
      <c r="G48" s="94"/>
      <c r="H48" s="94"/>
      <c r="I48" s="94"/>
      <c r="J48" s="94"/>
      <c r="K48" s="94"/>
      <c r="L48" s="94"/>
      <c r="M48" s="94"/>
      <c r="N48" s="94"/>
      <c r="O48" s="94"/>
      <c r="P48" s="94"/>
      <c r="Q48" s="94"/>
      <c r="R48" s="94"/>
      <c r="S48" s="94"/>
    </row>
    <row r="49" spans="1:19">
      <c r="A49" s="94"/>
      <c r="B49" s="94"/>
      <c r="C49" s="94"/>
      <c r="D49" s="18">
        <v>-400000</v>
      </c>
      <c r="E49" s="120" t="s">
        <v>4614</v>
      </c>
      <c r="F49" s="94"/>
      <c r="G49" s="94"/>
      <c r="H49" s="94" t="s">
        <v>25</v>
      </c>
      <c r="I49" s="94"/>
      <c r="J49" s="94"/>
      <c r="K49" s="94"/>
      <c r="L49" s="94"/>
      <c r="M49" s="94"/>
      <c r="N49" s="94"/>
      <c r="O49" s="94"/>
      <c r="P49" s="94"/>
      <c r="Q49" s="94"/>
      <c r="R49" s="94"/>
      <c r="S49" s="94"/>
    </row>
    <row r="50" spans="1:19">
      <c r="A50" s="94"/>
      <c r="B50" s="94"/>
      <c r="C50" s="94"/>
      <c r="D50" s="18">
        <v>-200000</v>
      </c>
      <c r="E50" s="120" t="s">
        <v>4615</v>
      </c>
      <c r="F50" s="94"/>
      <c r="G50" s="94"/>
      <c r="H50" s="94"/>
      <c r="I50" s="94"/>
      <c r="J50" s="94"/>
      <c r="K50" s="94"/>
      <c r="L50" s="94"/>
      <c r="M50" s="94"/>
      <c r="N50" s="94"/>
      <c r="O50" s="94"/>
      <c r="P50" s="94"/>
      <c r="Q50" s="94"/>
      <c r="R50" s="94"/>
      <c r="S50" s="94"/>
    </row>
    <row r="51" spans="1:19">
      <c r="A51" s="94"/>
      <c r="B51" s="94"/>
      <c r="C51" s="94"/>
      <c r="D51" s="18">
        <v>276773</v>
      </c>
      <c r="E51" s="120" t="s">
        <v>4620</v>
      </c>
      <c r="F51" s="94"/>
      <c r="G51" s="94"/>
      <c r="H51" s="94"/>
      <c r="I51" s="94"/>
      <c r="J51" s="94"/>
      <c r="K51" s="94"/>
      <c r="L51" s="94"/>
      <c r="M51" s="94"/>
      <c r="N51" s="94"/>
      <c r="O51" s="94"/>
      <c r="P51" s="94"/>
      <c r="Q51" s="94"/>
      <c r="R51" s="94"/>
      <c r="S51" s="94"/>
    </row>
    <row r="52" spans="1:19">
      <c r="A52" s="94"/>
      <c r="B52" s="94"/>
      <c r="C52" s="94"/>
      <c r="D52" s="18">
        <v>114710</v>
      </c>
      <c r="E52" s="120" t="s">
        <v>4623</v>
      </c>
      <c r="F52" s="112" t="s">
        <v>25</v>
      </c>
      <c r="G52" s="41" t="s">
        <v>25</v>
      </c>
      <c r="H52" s="94"/>
      <c r="I52" s="94"/>
      <c r="J52" s="94"/>
      <c r="K52" s="94"/>
      <c r="L52" s="94"/>
      <c r="M52" s="94"/>
      <c r="N52" s="94"/>
      <c r="O52" s="94"/>
      <c r="P52" s="94"/>
      <c r="Q52" s="94"/>
      <c r="R52" s="94"/>
      <c r="S52" s="94"/>
    </row>
    <row r="53" spans="1:19">
      <c r="A53" s="94"/>
      <c r="B53" s="94"/>
      <c r="C53" s="94"/>
      <c r="D53" s="18">
        <v>55120</v>
      </c>
      <c r="E53" s="120" t="s">
        <v>4636</v>
      </c>
      <c r="F53" s="112"/>
      <c r="G53" s="41"/>
      <c r="H53" s="94"/>
      <c r="I53" s="94"/>
      <c r="J53" s="94"/>
      <c r="K53" s="94"/>
      <c r="L53" s="94"/>
      <c r="M53" s="94"/>
      <c r="N53" s="94"/>
      <c r="O53" s="94"/>
      <c r="P53" s="94"/>
      <c r="Q53" s="94"/>
      <c r="R53" s="94"/>
      <c r="S53" s="94"/>
    </row>
    <row r="54" spans="1:19">
      <c r="A54" s="94"/>
      <c r="B54" s="94"/>
      <c r="C54" s="94"/>
      <c r="D54" s="18">
        <v>115000</v>
      </c>
      <c r="E54" s="120" t="s">
        <v>4641</v>
      </c>
      <c r="F54" s="112"/>
      <c r="G54" s="41"/>
      <c r="H54" s="94"/>
      <c r="I54" s="94"/>
      <c r="J54" s="94"/>
      <c r="K54" s="94"/>
      <c r="L54" s="94"/>
      <c r="M54" s="94"/>
      <c r="N54" s="94"/>
      <c r="O54" s="94"/>
      <c r="P54" s="94"/>
      <c r="Q54" s="94"/>
      <c r="R54" s="94"/>
      <c r="S54" s="94"/>
    </row>
    <row r="55" spans="1:19">
      <c r="A55" s="94"/>
      <c r="B55" s="94"/>
      <c r="C55" s="94"/>
      <c r="D55" s="18">
        <v>247560</v>
      </c>
      <c r="E55" s="120" t="s">
        <v>4642</v>
      </c>
      <c r="F55" s="112"/>
      <c r="G55" s="41"/>
      <c r="H55" s="94"/>
      <c r="I55" s="94"/>
      <c r="J55" s="94"/>
      <c r="K55" s="94"/>
      <c r="L55" s="94"/>
      <c r="M55" s="94"/>
      <c r="N55" s="94"/>
      <c r="O55" s="94"/>
      <c r="P55" s="94"/>
      <c r="Q55" s="94"/>
      <c r="R55" s="94"/>
      <c r="S55" s="94"/>
    </row>
    <row r="56" spans="1:19">
      <c r="A56" s="94"/>
      <c r="B56" s="94"/>
      <c r="C56" s="94"/>
      <c r="D56" s="18">
        <v>77187</v>
      </c>
      <c r="E56" s="120" t="s">
        <v>4643</v>
      </c>
      <c r="F56" s="94"/>
      <c r="G56" s="94"/>
      <c r="H56" s="94" t="s">
        <v>25</v>
      </c>
      <c r="I56" s="94"/>
      <c r="J56" s="94"/>
      <c r="K56" s="94"/>
      <c r="L56" s="94"/>
      <c r="M56" s="94"/>
      <c r="N56" s="94"/>
      <c r="O56" s="94"/>
      <c r="P56" s="94"/>
      <c r="Q56" s="94"/>
      <c r="R56" s="94"/>
      <c r="S56" s="94"/>
    </row>
    <row r="57" spans="1:19">
      <c r="A57" s="94"/>
      <c r="B57" s="94"/>
      <c r="C57" s="94"/>
      <c r="D57" s="18">
        <v>-140000</v>
      </c>
      <c r="E57" s="120" t="s">
        <v>4646</v>
      </c>
      <c r="F57" s="94"/>
      <c r="G57" s="94"/>
      <c r="H57" s="94"/>
      <c r="I57" s="94"/>
      <c r="J57" s="94"/>
      <c r="K57" s="94"/>
      <c r="L57" s="94"/>
      <c r="M57" s="94"/>
      <c r="N57" s="94"/>
      <c r="O57" s="94"/>
      <c r="P57" s="94"/>
      <c r="Q57" s="94"/>
      <c r="R57" s="94"/>
      <c r="S57" s="94"/>
    </row>
    <row r="58" spans="1:19">
      <c r="A58" s="94"/>
      <c r="B58" s="94"/>
      <c r="C58" s="94"/>
      <c r="D58" s="18">
        <v>-1600000</v>
      </c>
      <c r="E58" s="120" t="s">
        <v>4647</v>
      </c>
      <c r="F58" s="94"/>
      <c r="G58" s="94"/>
      <c r="H58" s="94"/>
      <c r="I58" s="94"/>
      <c r="J58" s="94"/>
      <c r="K58" s="94"/>
      <c r="L58" s="94"/>
      <c r="M58" s="94"/>
      <c r="N58" s="94"/>
      <c r="O58" s="94"/>
      <c r="P58" s="94"/>
      <c r="Q58" s="94"/>
      <c r="R58" s="94"/>
      <c r="S58" s="94"/>
    </row>
    <row r="59" spans="1:19">
      <c r="A59" s="94"/>
      <c r="B59" s="94"/>
      <c r="C59" s="94"/>
      <c r="D59" s="18">
        <v>-2000</v>
      </c>
      <c r="E59" s="120" t="s">
        <v>4654</v>
      </c>
      <c r="F59" s="94"/>
      <c r="G59" s="94"/>
      <c r="H59" s="94"/>
      <c r="I59" s="94"/>
      <c r="J59" s="94"/>
      <c r="K59" s="94"/>
      <c r="L59" s="94"/>
      <c r="M59" s="94"/>
      <c r="N59" s="94"/>
      <c r="O59" s="94"/>
      <c r="P59" s="94"/>
      <c r="Q59" s="94"/>
      <c r="R59" s="94"/>
      <c r="S59" s="94"/>
    </row>
    <row r="60" spans="1:19">
      <c r="A60" s="94"/>
      <c r="B60" s="94"/>
      <c r="C60" s="94"/>
      <c r="D60" s="18">
        <v>40000</v>
      </c>
      <c r="E60" s="120" t="s">
        <v>4665</v>
      </c>
      <c r="F60" s="94"/>
      <c r="G60" s="94"/>
      <c r="H60" s="94"/>
      <c r="I60" s="94"/>
      <c r="J60" s="94"/>
      <c r="K60" s="94"/>
      <c r="L60" s="94"/>
      <c r="M60" s="94"/>
      <c r="N60" s="94"/>
      <c r="O60" s="94"/>
      <c r="P60" s="94"/>
      <c r="Q60" s="94"/>
      <c r="R60" s="94"/>
      <c r="S60" s="94"/>
    </row>
    <row r="61" spans="1:19">
      <c r="A61" s="94"/>
      <c r="B61" s="94"/>
      <c r="C61" s="94"/>
      <c r="D61" s="18">
        <v>-146877</v>
      </c>
      <c r="E61" s="120" t="s">
        <v>4666</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4465</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4466</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4466</v>
      </c>
      <c r="B261" s="18">
        <v>-100500</v>
      </c>
      <c r="C261" s="18">
        <v>0</v>
      </c>
      <c r="D261" s="18">
        <f t="shared" si="18"/>
        <v>-100500</v>
      </c>
      <c r="E261" s="97" t="s">
        <v>4468</v>
      </c>
      <c r="F261" s="97">
        <v>0</v>
      </c>
      <c r="G261" s="36">
        <f t="shared" si="21"/>
        <v>103</v>
      </c>
      <c r="H261" s="97">
        <f t="shared" si="15"/>
        <v>0</v>
      </c>
      <c r="I261" s="97">
        <f t="shared" si="13"/>
        <v>-10351500</v>
      </c>
      <c r="J261" s="97">
        <f t="shared" si="20"/>
        <v>0</v>
      </c>
      <c r="K261" s="97">
        <f t="shared" si="17"/>
        <v>-10351500</v>
      </c>
    </row>
    <row r="262" spans="1:13">
      <c r="A262" s="97" t="s">
        <v>4466</v>
      </c>
      <c r="B262" s="18">
        <v>-68670</v>
      </c>
      <c r="C262" s="18">
        <v>0</v>
      </c>
      <c r="D262" s="18">
        <f t="shared" si="18"/>
        <v>-68670</v>
      </c>
      <c r="E262" s="97" t="s">
        <v>4472</v>
      </c>
      <c r="F262" s="97">
        <v>1</v>
      </c>
      <c r="G262" s="36">
        <f t="shared" si="21"/>
        <v>103</v>
      </c>
      <c r="H262" s="97">
        <f t="shared" si="15"/>
        <v>0</v>
      </c>
      <c r="I262" s="97">
        <f t="shared" si="13"/>
        <v>-7073010</v>
      </c>
      <c r="J262" s="97">
        <f t="shared" si="20"/>
        <v>0</v>
      </c>
      <c r="K262" s="97">
        <f t="shared" si="17"/>
        <v>-7073010</v>
      </c>
    </row>
    <row r="263" spans="1:13">
      <c r="A263" s="97" t="s">
        <v>4469</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4479</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4479</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4479</v>
      </c>
      <c r="B266" s="18">
        <v>-389000</v>
      </c>
      <c r="C266" s="18">
        <v>0</v>
      </c>
      <c r="D266" s="18">
        <f t="shared" si="18"/>
        <v>-389000</v>
      </c>
      <c r="E266" s="97" t="s">
        <v>4482</v>
      </c>
      <c r="F266" s="97">
        <v>4</v>
      </c>
      <c r="G266" s="36">
        <f t="shared" si="21"/>
        <v>100</v>
      </c>
      <c r="H266" s="97">
        <f t="shared" si="15"/>
        <v>0</v>
      </c>
      <c r="I266" s="97">
        <f t="shared" si="13"/>
        <v>-38900000</v>
      </c>
      <c r="J266" s="97">
        <f t="shared" si="20"/>
        <v>0</v>
      </c>
      <c r="K266" s="97">
        <f t="shared" si="17"/>
        <v>-38900000</v>
      </c>
      <c r="M266" t="s">
        <v>25</v>
      </c>
    </row>
    <row r="267" spans="1:13">
      <c r="A267" s="97" t="s">
        <v>4504</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4508</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4508</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4511</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4511</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4514</v>
      </c>
      <c r="B273" s="18">
        <v>-900000</v>
      </c>
      <c r="C273" s="18">
        <v>0</v>
      </c>
      <c r="D273" s="18">
        <f t="shared" si="18"/>
        <v>-900000</v>
      </c>
      <c r="E273" s="97" t="s">
        <v>4520</v>
      </c>
      <c r="F273" s="97">
        <v>1</v>
      </c>
      <c r="G273" s="36">
        <f t="shared" si="21"/>
        <v>92</v>
      </c>
      <c r="H273" s="97">
        <f t="shared" si="15"/>
        <v>0</v>
      </c>
      <c r="I273" s="97">
        <f t="shared" si="13"/>
        <v>-82800000</v>
      </c>
      <c r="J273" s="97">
        <f t="shared" si="20"/>
        <v>0</v>
      </c>
      <c r="K273" s="97">
        <f t="shared" si="17"/>
        <v>-82800000</v>
      </c>
    </row>
    <row r="274" spans="1:12">
      <c r="A274" s="97" t="s">
        <v>4517</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4517</v>
      </c>
      <c r="B275" s="18">
        <v>-1287000</v>
      </c>
      <c r="C275" s="18">
        <v>0</v>
      </c>
      <c r="D275" s="18">
        <f t="shared" si="18"/>
        <v>-1287000</v>
      </c>
      <c r="E275" s="97" t="s">
        <v>4518</v>
      </c>
      <c r="F275" s="97">
        <v>2</v>
      </c>
      <c r="G275" s="36">
        <f t="shared" si="21"/>
        <v>91</v>
      </c>
      <c r="H275" s="97">
        <f t="shared" si="15"/>
        <v>0</v>
      </c>
      <c r="I275" s="97">
        <f t="shared" si="13"/>
        <v>-117117000</v>
      </c>
      <c r="J275" s="97">
        <f t="shared" si="20"/>
        <v>0</v>
      </c>
      <c r="K275" s="97">
        <f t="shared" si="17"/>
        <v>-117117000</v>
      </c>
    </row>
    <row r="276" spans="1:12">
      <c r="A276" s="97" t="s">
        <v>4515</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4525</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4528</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4529</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4531</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4541</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4541</v>
      </c>
      <c r="B285" s="18">
        <v>-3995000</v>
      </c>
      <c r="C285" s="18">
        <v>0</v>
      </c>
      <c r="D285" s="18">
        <f t="shared" si="18"/>
        <v>-3995000</v>
      </c>
      <c r="E285" s="97" t="s">
        <v>4542</v>
      </c>
      <c r="F285" s="97">
        <v>3</v>
      </c>
      <c r="G285" s="36">
        <f t="shared" si="21"/>
        <v>78</v>
      </c>
      <c r="H285" s="97">
        <f t="shared" si="15"/>
        <v>0</v>
      </c>
      <c r="I285" s="97">
        <f t="shared" si="13"/>
        <v>-311610000</v>
      </c>
      <c r="J285" s="97">
        <f t="shared" si="22"/>
        <v>0</v>
      </c>
      <c r="K285" s="97">
        <f t="shared" si="23"/>
        <v>-311610000</v>
      </c>
    </row>
    <row r="286" spans="1:12">
      <c r="A286" s="97" t="s">
        <v>4550</v>
      </c>
      <c r="B286" s="18">
        <v>-2010700</v>
      </c>
      <c r="C286" s="18">
        <v>0</v>
      </c>
      <c r="D286" s="18">
        <f t="shared" si="18"/>
        <v>-2010700</v>
      </c>
      <c r="E286" s="97" t="s">
        <v>4553</v>
      </c>
      <c r="F286" s="97">
        <v>0</v>
      </c>
      <c r="G286" s="36">
        <f t="shared" si="21"/>
        <v>75</v>
      </c>
      <c r="H286" s="97">
        <f t="shared" si="15"/>
        <v>0</v>
      </c>
      <c r="I286" s="97">
        <f t="shared" si="13"/>
        <v>-150802500</v>
      </c>
      <c r="J286" s="97">
        <f t="shared" si="22"/>
        <v>0</v>
      </c>
      <c r="K286" s="97">
        <f t="shared" si="23"/>
        <v>-150802500</v>
      </c>
    </row>
    <row r="287" spans="1:12">
      <c r="A287" s="97" t="s">
        <v>4550</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4554</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4559</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4563</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4567</v>
      </c>
      <c r="B293" s="18">
        <v>-96850</v>
      </c>
      <c r="C293" s="18">
        <v>0</v>
      </c>
      <c r="D293" s="18">
        <f t="shared" si="18"/>
        <v>-96850</v>
      </c>
      <c r="E293" s="97" t="s">
        <v>4571</v>
      </c>
      <c r="F293" s="97">
        <v>2</v>
      </c>
      <c r="G293" s="36">
        <f t="shared" si="21"/>
        <v>67</v>
      </c>
      <c r="H293" s="97">
        <f t="shared" si="15"/>
        <v>0</v>
      </c>
      <c r="I293" s="97">
        <f t="shared" si="13"/>
        <v>-6488950</v>
      </c>
      <c r="J293" s="97">
        <f t="shared" si="22"/>
        <v>0</v>
      </c>
      <c r="K293" s="97">
        <f t="shared" si="23"/>
        <v>-6488950</v>
      </c>
    </row>
    <row r="294" spans="1:13">
      <c r="A294" s="97" t="s">
        <v>4573</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4586</v>
      </c>
      <c r="B296" s="18">
        <v>-200000</v>
      </c>
      <c r="C296" s="18">
        <v>0</v>
      </c>
      <c r="D296" s="18">
        <f t="shared" si="18"/>
        <v>-200000</v>
      </c>
      <c r="E296" s="97" t="s">
        <v>4587</v>
      </c>
      <c r="F296" s="97">
        <v>3</v>
      </c>
      <c r="G296" s="36">
        <f t="shared" si="21"/>
        <v>64</v>
      </c>
      <c r="H296" s="97">
        <f t="shared" si="15"/>
        <v>0</v>
      </c>
      <c r="I296" s="97">
        <f t="shared" si="13"/>
        <v>-12800000</v>
      </c>
      <c r="J296" s="97">
        <f t="shared" si="22"/>
        <v>0</v>
      </c>
      <c r="K296" s="97">
        <f t="shared" si="23"/>
        <v>-12800000</v>
      </c>
    </row>
    <row r="297" spans="1:13">
      <c r="A297" s="97" t="s">
        <v>4596</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4598</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4598</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4598</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4598</v>
      </c>
      <c r="B301" s="18">
        <v>-51400</v>
      </c>
      <c r="C301" s="18">
        <v>0</v>
      </c>
      <c r="D301" s="18">
        <f t="shared" si="18"/>
        <v>-51400</v>
      </c>
      <c r="E301" s="97" t="s">
        <v>4604</v>
      </c>
      <c r="F301" s="97">
        <v>1</v>
      </c>
      <c r="G301" s="36">
        <f t="shared" si="27"/>
        <v>60</v>
      </c>
      <c r="H301" s="97">
        <f t="shared" si="15"/>
        <v>0</v>
      </c>
      <c r="I301" s="97">
        <f t="shared" si="24"/>
        <v>-3084000</v>
      </c>
      <c r="J301" s="97">
        <f t="shared" si="25"/>
        <v>0</v>
      </c>
      <c r="K301" s="97">
        <f t="shared" si="26"/>
        <v>-3084000</v>
      </c>
    </row>
    <row r="302" spans="1:13">
      <c r="A302" s="97" t="s">
        <v>4607</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4607</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4619</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4619</v>
      </c>
      <c r="B305" s="18">
        <v>-276773</v>
      </c>
      <c r="C305" s="18">
        <v>0</v>
      </c>
      <c r="D305" s="18">
        <f t="shared" si="18"/>
        <v>-276773</v>
      </c>
      <c r="E305" s="97" t="s">
        <v>4621</v>
      </c>
      <c r="F305" s="97">
        <v>2</v>
      </c>
      <c r="G305" s="36">
        <f t="shared" si="27"/>
        <v>57</v>
      </c>
      <c r="H305" s="97">
        <f t="shared" si="15"/>
        <v>0</v>
      </c>
      <c r="I305" s="97">
        <f t="shared" si="24"/>
        <v>-15776061</v>
      </c>
      <c r="J305" s="97">
        <f t="shared" si="25"/>
        <v>0</v>
      </c>
      <c r="K305" s="97">
        <f t="shared" si="26"/>
        <v>-15776061</v>
      </c>
    </row>
    <row r="306" spans="1:13">
      <c r="A306" s="97" t="s">
        <v>4622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4629</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4635</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4635</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4644</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4637</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4638</v>
      </c>
      <c r="B312" s="18">
        <v>-324747</v>
      </c>
      <c r="C312" s="18">
        <v>0</v>
      </c>
      <c r="D312" s="18">
        <f t="shared" si="18"/>
        <v>-324747</v>
      </c>
      <c r="E312" s="97" t="s">
        <v>4645</v>
      </c>
      <c r="F312" s="97">
        <v>3</v>
      </c>
      <c r="G312" s="36">
        <f t="shared" si="28"/>
        <v>44</v>
      </c>
      <c r="H312" s="97">
        <f t="shared" si="29"/>
        <v>0</v>
      </c>
      <c r="I312" s="97">
        <f t="shared" si="30"/>
        <v>-14288868</v>
      </c>
      <c r="J312" s="97">
        <f t="shared" si="31"/>
        <v>0</v>
      </c>
      <c r="K312" s="97">
        <f t="shared" si="32"/>
        <v>-14288868</v>
      </c>
      <c r="M312" t="s">
        <v>25</v>
      </c>
    </row>
    <row r="313" spans="1:13">
      <c r="A313" s="97" t="s">
        <v>4652</v>
      </c>
      <c r="B313" s="18">
        <v>-297992</v>
      </c>
      <c r="C313" s="18">
        <v>0</v>
      </c>
      <c r="D313" s="18">
        <f t="shared" si="18"/>
        <v>-297992</v>
      </c>
      <c r="E313" s="97" t="s">
        <v>4653</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4660</v>
      </c>
      <c r="B315" s="18">
        <v>-40000</v>
      </c>
      <c r="C315" s="18">
        <v>0</v>
      </c>
      <c r="D315" s="18">
        <f t="shared" si="18"/>
        <v>-40000</v>
      </c>
      <c r="E315" s="97" t="s">
        <v>4667</v>
      </c>
      <c r="F315" s="97">
        <v>4</v>
      </c>
      <c r="G315" s="36">
        <f t="shared" si="28"/>
        <v>38</v>
      </c>
      <c r="H315" s="97">
        <f t="shared" si="29"/>
        <v>0</v>
      </c>
      <c r="I315" s="97">
        <f t="shared" si="30"/>
        <v>-1520000</v>
      </c>
      <c r="J315" s="97">
        <f t="shared" si="31"/>
        <v>0</v>
      </c>
      <c r="K315" s="97">
        <f t="shared" si="32"/>
        <v>-1520000</v>
      </c>
    </row>
    <row r="316" spans="1:13">
      <c r="A316" s="97" t="s">
        <v>4672</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4690</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4698</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4698</v>
      </c>
      <c r="B319" s="18">
        <v>-1866154</v>
      </c>
      <c r="C319" s="18">
        <v>0</v>
      </c>
      <c r="D319" s="18">
        <f t="shared" si="18"/>
        <v>-1866154</v>
      </c>
      <c r="E319" s="19" t="s">
        <v>4704</v>
      </c>
      <c r="F319" s="97">
        <v>0</v>
      </c>
      <c r="G319" s="36">
        <f t="shared" si="28"/>
        <v>29</v>
      </c>
      <c r="H319" s="97">
        <f t="shared" si="29"/>
        <v>0</v>
      </c>
      <c r="I319" s="97">
        <f t="shared" si="30"/>
        <v>-54118466</v>
      </c>
      <c r="J319" s="97">
        <f t="shared" si="31"/>
        <v>0</v>
      </c>
      <c r="K319" s="97">
        <f t="shared" si="32"/>
        <v>-54118466</v>
      </c>
    </row>
    <row r="320" spans="1:13">
      <c r="A320" s="11" t="s">
        <v>4698</v>
      </c>
      <c r="B320" s="18">
        <v>-36600</v>
      </c>
      <c r="C320" s="18">
        <v>0</v>
      </c>
      <c r="D320" s="18">
        <f t="shared" si="18"/>
        <v>-36600</v>
      </c>
      <c r="E320" s="97" t="s">
        <v>4705</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4706</v>
      </c>
      <c r="B321" s="18">
        <v>-492000</v>
      </c>
      <c r="C321" s="18">
        <v>0</v>
      </c>
      <c r="D321" s="18">
        <f t="shared" si="18"/>
        <v>-492000</v>
      </c>
      <c r="E321" s="97" t="s">
        <v>4707</v>
      </c>
      <c r="F321" s="97">
        <v>0</v>
      </c>
      <c r="G321" s="36">
        <f t="shared" si="33"/>
        <v>28</v>
      </c>
      <c r="H321" s="97">
        <f t="shared" si="34"/>
        <v>0</v>
      </c>
      <c r="I321" s="97">
        <f t="shared" si="35"/>
        <v>-13776000</v>
      </c>
      <c r="J321" s="97">
        <f t="shared" si="36"/>
        <v>0</v>
      </c>
      <c r="K321" s="97">
        <f t="shared" si="37"/>
        <v>-13776000</v>
      </c>
      <c r="M321" t="s">
        <v>25</v>
      </c>
    </row>
    <row r="322" spans="1:14">
      <c r="A322" s="97" t="s">
        <v>4706</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4706</v>
      </c>
      <c r="B323" s="18">
        <v>-40000</v>
      </c>
      <c r="C323" s="18">
        <v>0</v>
      </c>
      <c r="D323" s="18">
        <f t="shared" si="18"/>
        <v>-40000</v>
      </c>
      <c r="E323" s="97" t="s">
        <v>4709</v>
      </c>
      <c r="F323" s="97">
        <v>1</v>
      </c>
      <c r="G323" s="36">
        <f t="shared" si="33"/>
        <v>28</v>
      </c>
      <c r="H323" s="97">
        <f t="shared" si="34"/>
        <v>0</v>
      </c>
      <c r="I323" s="97">
        <f t="shared" si="35"/>
        <v>-1120000</v>
      </c>
      <c r="J323" s="97">
        <f t="shared" si="36"/>
        <v>0</v>
      </c>
      <c r="K323" s="97">
        <f t="shared" si="37"/>
        <v>-1120000</v>
      </c>
    </row>
    <row r="324" spans="1:14">
      <c r="A324" s="97" t="s">
        <v>4710</v>
      </c>
      <c r="B324" s="18">
        <v>-66000</v>
      </c>
      <c r="C324" s="18">
        <v>0</v>
      </c>
      <c r="D324" s="18">
        <f t="shared" si="18"/>
        <v>-66000</v>
      </c>
      <c r="E324" s="97" t="s">
        <v>4709</v>
      </c>
      <c r="F324" s="97">
        <v>1</v>
      </c>
      <c r="G324" s="36">
        <f t="shared" si="33"/>
        <v>27</v>
      </c>
      <c r="H324" s="97">
        <f t="shared" si="34"/>
        <v>0</v>
      </c>
      <c r="I324" s="97">
        <f t="shared" si="35"/>
        <v>-1782000</v>
      </c>
      <c r="J324" s="97">
        <f t="shared" si="36"/>
        <v>0</v>
      </c>
      <c r="K324" s="97">
        <f t="shared" si="37"/>
        <v>-1782000</v>
      </c>
    </row>
    <row r="325" spans="1:14">
      <c r="A325" s="97" t="s">
        <v>4711</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4711</v>
      </c>
      <c r="B326" s="18">
        <v>-200500</v>
      </c>
      <c r="C326" s="18">
        <v>0</v>
      </c>
      <c r="D326" s="18">
        <f t="shared" si="18"/>
        <v>-200500</v>
      </c>
      <c r="E326" s="97" t="s">
        <v>4712</v>
      </c>
      <c r="F326" s="97">
        <v>2</v>
      </c>
      <c r="G326" s="36">
        <f t="shared" si="33"/>
        <v>26</v>
      </c>
      <c r="H326" s="97">
        <f t="shared" si="34"/>
        <v>0</v>
      </c>
      <c r="I326" s="97">
        <f t="shared" si="35"/>
        <v>-5213000</v>
      </c>
      <c r="J326" s="97">
        <f t="shared" si="36"/>
        <v>0</v>
      </c>
      <c r="K326" s="97">
        <f t="shared" si="37"/>
        <v>-5213000</v>
      </c>
      <c r="M326" t="s">
        <v>25</v>
      </c>
    </row>
    <row r="327" spans="1:14">
      <c r="A327" s="97" t="s">
        <v>4716</v>
      </c>
      <c r="B327" s="18">
        <v>1563000</v>
      </c>
      <c r="C327" s="18">
        <v>0</v>
      </c>
      <c r="D327" s="18">
        <f t="shared" si="18"/>
        <v>1563000</v>
      </c>
      <c r="E327" s="97" t="s">
        <v>4719</v>
      </c>
      <c r="F327" s="97">
        <v>0</v>
      </c>
      <c r="G327" s="36">
        <f t="shared" si="33"/>
        <v>24</v>
      </c>
      <c r="H327" s="97">
        <f t="shared" si="34"/>
        <v>1</v>
      </c>
      <c r="I327" s="97">
        <f t="shared" si="35"/>
        <v>35949000</v>
      </c>
      <c r="J327" s="97">
        <f t="shared" si="36"/>
        <v>0</v>
      </c>
      <c r="K327" s="97">
        <f t="shared" si="37"/>
        <v>35949000</v>
      </c>
    </row>
    <row r="328" spans="1:14">
      <c r="A328" s="97" t="s">
        <v>4716</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4727</v>
      </c>
      <c r="B329" s="18">
        <v>-20000</v>
      </c>
      <c r="C329" s="18">
        <v>0</v>
      </c>
      <c r="D329" s="18">
        <f t="shared" si="18"/>
        <v>-20000</v>
      </c>
      <c r="E329" s="97" t="s">
        <v>4730</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4740</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4745</v>
      </c>
      <c r="F331" s="97">
        <v>2</v>
      </c>
      <c r="G331" s="36">
        <f t="shared" si="33"/>
        <v>19</v>
      </c>
      <c r="H331" s="97">
        <f t="shared" si="34"/>
        <v>0</v>
      </c>
      <c r="I331" s="97">
        <f t="shared" si="35"/>
        <v>-15019500</v>
      </c>
      <c r="J331" s="97">
        <f t="shared" si="36"/>
        <v>0</v>
      </c>
      <c r="K331" s="97">
        <f t="shared" si="37"/>
        <v>-15019500</v>
      </c>
    </row>
    <row r="332" spans="1:14">
      <c r="A332" s="97" t="s">
        <v>4749</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4754</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4757</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4757</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4757</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4759</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4759</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4760</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4760</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4765</v>
      </c>
      <c r="B341" s="18">
        <v>433375</v>
      </c>
      <c r="C341" s="18">
        <v>0</v>
      </c>
      <c r="D341" s="18">
        <f t="shared" si="18"/>
        <v>433375</v>
      </c>
      <c r="E341" s="97" t="s">
        <v>4768</v>
      </c>
      <c r="F341" s="97">
        <v>1</v>
      </c>
      <c r="G341" s="36">
        <f>G342+F341</f>
        <v>11</v>
      </c>
      <c r="H341" s="97">
        <f>IF(B341&gt;0,1,0)</f>
        <v>1</v>
      </c>
      <c r="I341" s="97">
        <f>B341*(G341-H341)</f>
        <v>4333750</v>
      </c>
      <c r="J341" s="97">
        <f>C341*(G341-H341)</f>
        <v>0</v>
      </c>
      <c r="K341" s="97">
        <f>D341*(G341-H341)</f>
        <v>4333750</v>
      </c>
      <c r="M341" t="s">
        <v>25</v>
      </c>
    </row>
    <row r="342" spans="1:13">
      <c r="A342" s="97" t="s">
        <v>4774</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4774</v>
      </c>
      <c r="B343" s="18">
        <v>-300000</v>
      </c>
      <c r="C343" s="18">
        <v>0</v>
      </c>
      <c r="D343" s="18">
        <f t="shared" si="18"/>
        <v>-300000</v>
      </c>
      <c r="E343" s="97" t="s">
        <v>4777</v>
      </c>
      <c r="F343" s="97">
        <v>0</v>
      </c>
      <c r="G343" s="36">
        <f t="shared" si="38"/>
        <v>10</v>
      </c>
      <c r="H343" s="97">
        <f t="shared" si="39"/>
        <v>0</v>
      </c>
      <c r="I343" s="97">
        <f t="shared" si="40"/>
        <v>-3000000</v>
      </c>
      <c r="J343" s="97">
        <f t="shared" si="41"/>
        <v>0</v>
      </c>
      <c r="K343" s="97">
        <f t="shared" si="42"/>
        <v>-3000000</v>
      </c>
    </row>
    <row r="344" spans="1:13">
      <c r="A344" s="97" t="s">
        <v>4774</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4779</v>
      </c>
      <c r="F345" s="97">
        <v>3</v>
      </c>
      <c r="G345" s="36">
        <f t="shared" si="38"/>
        <v>9</v>
      </c>
      <c r="H345" s="97">
        <f t="shared" si="39"/>
        <v>0</v>
      </c>
      <c r="I345" s="97">
        <f t="shared" si="40"/>
        <v>-12759543</v>
      </c>
      <c r="J345" s="97">
        <f t="shared" si="41"/>
        <v>0</v>
      </c>
      <c r="K345" s="97">
        <f t="shared" si="42"/>
        <v>-12759543</v>
      </c>
      <c r="L345" t="s">
        <v>25</v>
      </c>
    </row>
    <row r="346" spans="1:13">
      <c r="A346" s="97" t="s">
        <v>4784</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4781</v>
      </c>
      <c r="B347" s="18">
        <v>-960200</v>
      </c>
      <c r="C347" s="18">
        <v>0</v>
      </c>
      <c r="D347" s="18">
        <f t="shared" si="18"/>
        <v>-960200</v>
      </c>
      <c r="E347" s="97" t="s">
        <v>4785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4663</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4672</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4690</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4698</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4698</v>
      </c>
      <c r="B6" s="18">
        <v>-1866154</v>
      </c>
      <c r="C6" s="18">
        <v>0</v>
      </c>
      <c r="D6" s="111">
        <f t="shared" si="0"/>
        <v>-1866154</v>
      </c>
      <c r="E6" s="19" t="s">
        <v>4704</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4698</v>
      </c>
      <c r="B7" s="18">
        <v>-36600</v>
      </c>
      <c r="C7" s="18">
        <v>0</v>
      </c>
      <c r="D7" s="111">
        <f t="shared" si="0"/>
        <v>-36600</v>
      </c>
      <c r="E7" s="19" t="s">
        <v>4705</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4706</v>
      </c>
      <c r="B8" s="18">
        <v>-492000</v>
      </c>
      <c r="C8" s="18">
        <v>0</v>
      </c>
      <c r="D8" s="111">
        <f t="shared" si="0"/>
        <v>-492000</v>
      </c>
      <c r="E8" s="19" t="s">
        <v>4707</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4706</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4706</v>
      </c>
      <c r="B10" s="18">
        <v>-40000</v>
      </c>
      <c r="C10" s="18">
        <v>0</v>
      </c>
      <c r="D10" s="111">
        <f t="shared" si="0"/>
        <v>-40000</v>
      </c>
      <c r="E10" s="19" t="s">
        <v>4709</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4710</v>
      </c>
      <c r="B11" s="18">
        <v>-66000</v>
      </c>
      <c r="C11" s="18">
        <v>0</v>
      </c>
      <c r="D11" s="111">
        <f t="shared" si="0"/>
        <v>-66000</v>
      </c>
      <c r="E11" s="19" t="s">
        <v>4709</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4711</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4711</v>
      </c>
      <c r="B13" s="18">
        <v>-200500</v>
      </c>
      <c r="C13" s="18">
        <v>0</v>
      </c>
      <c r="D13" s="111">
        <f t="shared" si="0"/>
        <v>-200500</v>
      </c>
      <c r="E13" s="20" t="s">
        <v>4712</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4716</v>
      </c>
      <c r="B14" s="18">
        <v>1563000</v>
      </c>
      <c r="C14" s="18">
        <v>0</v>
      </c>
      <c r="D14" s="111">
        <f t="shared" si="0"/>
        <v>1563000</v>
      </c>
      <c r="E14" s="20" t="s">
        <v>4719</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4716</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4727</v>
      </c>
      <c r="B16" s="18">
        <v>-20000</v>
      </c>
      <c r="C16" s="18">
        <v>0</v>
      </c>
      <c r="D16" s="111">
        <f t="shared" si="0"/>
        <v>-20000</v>
      </c>
      <c r="E16" s="20" t="s">
        <v>4730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4740</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4744</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4749</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4754</v>
      </c>
      <c r="B20" s="18">
        <v>400000</v>
      </c>
      <c r="C20" s="18">
        <v>0</v>
      </c>
      <c r="D20" s="111">
        <f t="shared" si="0"/>
        <v>400000</v>
      </c>
      <c r="E20" s="19" t="s">
        <v>4755</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4757</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4757</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4757</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4759</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4759</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4760</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4760</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4765</v>
      </c>
      <c r="B28" s="18">
        <v>433375</v>
      </c>
      <c r="C28" s="18">
        <v>0</v>
      </c>
      <c r="D28" s="111">
        <f t="shared" si="0"/>
        <v>433375</v>
      </c>
      <c r="E28" s="19" t="s">
        <v>4768</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4774</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4774</v>
      </c>
      <c r="B30" s="18">
        <v>-300000</v>
      </c>
      <c r="C30" s="18">
        <v>0</v>
      </c>
      <c r="D30" s="111">
        <f t="shared" si="0"/>
        <v>-300000</v>
      </c>
      <c r="E30" s="19" t="s">
        <v>4777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4774</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4670</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4671</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4681</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4682</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4689</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4696</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4701</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4702</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4703</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4704</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4708</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4713</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4714</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4717</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4720</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4723</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4741</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4743</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4748</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4750</v>
      </c>
      <c r="F68" s="94"/>
      <c r="G68" s="94"/>
      <c r="H68" s="94"/>
      <c r="I68" s="94"/>
    </row>
    <row r="69" spans="1:22">
      <c r="A69" s="94"/>
      <c r="B69" s="94"/>
      <c r="C69" s="94"/>
      <c r="D69" s="18">
        <v>-67844</v>
      </c>
      <c r="E69" s="120" t="s">
        <v>4752</v>
      </c>
      <c r="F69" s="94"/>
      <c r="G69" s="94"/>
      <c r="H69" s="94"/>
      <c r="I69" s="94"/>
    </row>
    <row r="70" spans="1:22">
      <c r="D70" s="18">
        <v>-400000</v>
      </c>
      <c r="E70" s="120" t="s">
        <v>4756</v>
      </c>
      <c r="G70" t="s">
        <v>25</v>
      </c>
    </row>
    <row r="71" spans="1:22">
      <c r="D71" s="18">
        <v>463200</v>
      </c>
      <c r="E71" s="120" t="s">
        <v>4758</v>
      </c>
    </row>
    <row r="72" spans="1:22">
      <c r="D72" s="18">
        <v>2000000</v>
      </c>
      <c r="E72" s="94" t="s">
        <v>4761</v>
      </c>
    </row>
    <row r="73" spans="1:22">
      <c r="D73" s="18">
        <v>-280000</v>
      </c>
      <c r="E73" t="s">
        <v>4762</v>
      </c>
    </row>
    <row r="74" spans="1:22">
      <c r="D74" s="18">
        <v>-200000</v>
      </c>
      <c r="E74" s="94" t="s">
        <v>4769</v>
      </c>
    </row>
    <row r="75" spans="1:22">
      <c r="D75" s="18">
        <v>-2000000</v>
      </c>
      <c r="E75" s="94" t="s">
        <v>4775</v>
      </c>
    </row>
    <row r="76" spans="1:22">
      <c r="D76" s="18">
        <v>92800</v>
      </c>
      <c r="E76" s="94" t="s">
        <v>4778</v>
      </c>
    </row>
    <row r="77" spans="1:22">
      <c r="D77" s="18">
        <v>1417727</v>
      </c>
      <c r="E77" s="94" t="s">
        <v>4779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C6" sqref="C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4983</v>
      </c>
      <c r="X20" s="41">
        <v>9194342556</v>
      </c>
      <c r="Y20" s="41">
        <v>200</v>
      </c>
      <c r="Z20" s="41" t="s">
        <v>4496</v>
      </c>
      <c r="AA20" t="s">
        <v>4965</v>
      </c>
      <c r="AB20" s="94"/>
      <c r="AC20" s="94"/>
      <c r="AD20" s="94"/>
      <c r="AE20" s="94"/>
      <c r="AF20" s="94"/>
      <c r="AG20" s="94"/>
      <c r="AH20" s="94"/>
      <c r="AI20" s="94"/>
    </row>
    <row r="21" spans="5:35">
      <c r="O21" s="97"/>
      <c r="P21" s="97"/>
      <c r="Q21" s="328" t="s">
        <v>1073</v>
      </c>
      <c r="R21" s="328"/>
      <c r="S21" s="328"/>
      <c r="T21" s="328"/>
      <c r="U21" s="94"/>
      <c r="V21" s="94"/>
      <c r="W21" s="41" t="s">
        <v>4982</v>
      </c>
      <c r="X21" s="41">
        <v>9035210431</v>
      </c>
      <c r="Y21" s="41">
        <v>50</v>
      </c>
      <c r="Z21" s="41" t="s">
        <v>5256</v>
      </c>
      <c r="AA21" t="s">
        <v>5000</v>
      </c>
    </row>
    <row r="22" spans="5:35">
      <c r="O22" s="97"/>
      <c r="P22" s="97"/>
      <c r="Q22" s="328"/>
      <c r="R22" s="328"/>
      <c r="S22" s="328"/>
      <c r="T22" s="328"/>
      <c r="U22" s="94"/>
      <c r="V22" s="94"/>
      <c r="W22" s="41" t="s">
        <v>5071</v>
      </c>
      <c r="X22" s="41">
        <v>9909620343</v>
      </c>
      <c r="Y22" s="41">
        <v>200</v>
      </c>
      <c r="Z22" s="41" t="s">
        <v>5257</v>
      </c>
      <c r="AA22" t="s">
        <v>5260</v>
      </c>
      <c r="AB22" s="41" t="s">
        <v>5268</v>
      </c>
    </row>
    <row r="23" spans="5:35" ht="15.75">
      <c r="O23" s="176"/>
      <c r="P23" s="97" t="s">
        <v>4070</v>
      </c>
      <c r="Q23" s="329" t="s">
        <v>1074</v>
      </c>
      <c r="R23" s="330" t="s">
        <v>1075</v>
      </c>
      <c r="S23" s="329" t="s">
        <v>1076</v>
      </c>
      <c r="T23" s="331" t="s">
        <v>1077</v>
      </c>
      <c r="W23" s="41" t="s">
        <v>5072</v>
      </c>
      <c r="X23" s="41">
        <v>9378807702</v>
      </c>
      <c r="Y23" s="41">
        <v>0</v>
      </c>
      <c r="Z23" s="41">
        <v>0</v>
      </c>
      <c r="AD23" t="s">
        <v>25</v>
      </c>
    </row>
    <row r="24" spans="5:35">
      <c r="O24" s="97"/>
      <c r="P24" s="97"/>
      <c r="Q24" s="329"/>
      <c r="R24" s="330"/>
      <c r="S24" s="329"/>
      <c r="T24" s="331"/>
      <c r="W24" s="41" t="s">
        <v>5095</v>
      </c>
      <c r="X24" s="41"/>
      <c r="Y24" s="41">
        <v>200</v>
      </c>
      <c r="Z24" s="41" t="s">
        <v>4496</v>
      </c>
      <c r="AA24" t="s">
        <v>5108</v>
      </c>
      <c r="AB24" t="s">
        <v>5160</v>
      </c>
    </row>
    <row r="25" spans="5:35">
      <c r="O25" s="171" t="s">
        <v>4126</v>
      </c>
      <c r="P25" s="171">
        <v>2182188507</v>
      </c>
      <c r="Q25" s="172" t="s">
        <v>1078</v>
      </c>
      <c r="R25" s="172" t="s">
        <v>4071</v>
      </c>
      <c r="S25" s="172" t="s">
        <v>4076</v>
      </c>
      <c r="T25" s="172" t="s">
        <v>1079</v>
      </c>
      <c r="W25" s="41" t="s">
        <v>5115</v>
      </c>
      <c r="X25" s="41">
        <v>9013075723</v>
      </c>
      <c r="Y25" s="41">
        <v>100</v>
      </c>
      <c r="Z25" s="41" t="s">
        <v>5256</v>
      </c>
      <c r="AA25" t="s">
        <v>5183</v>
      </c>
    </row>
    <row r="26" spans="5:35">
      <c r="O26" s="171"/>
      <c r="P26" s="171">
        <v>2123095122</v>
      </c>
      <c r="Q26" s="173" t="s">
        <v>1080</v>
      </c>
      <c r="R26" s="173" t="s">
        <v>1081</v>
      </c>
      <c r="S26" s="173" t="s">
        <v>1082</v>
      </c>
      <c r="T26" s="173" t="s">
        <v>1083</v>
      </c>
      <c r="U26" s="94"/>
      <c r="V26" s="94"/>
      <c r="W26" s="41" t="s">
        <v>5258</v>
      </c>
      <c r="X26" s="41">
        <v>9214923916</v>
      </c>
      <c r="Y26" s="41">
        <v>100</v>
      </c>
      <c r="Z26" s="41" t="s">
        <v>4496</v>
      </c>
      <c r="AA26" s="204" t="s">
        <v>5252</v>
      </c>
      <c r="AB26" s="94"/>
    </row>
    <row r="27" spans="5:35" ht="30">
      <c r="O27" s="171" t="s">
        <v>4181</v>
      </c>
      <c r="P27" s="171">
        <v>2188831909</v>
      </c>
      <c r="Q27" s="97" t="s">
        <v>4073</v>
      </c>
      <c r="R27" s="97" t="s">
        <v>4074</v>
      </c>
      <c r="S27" s="97" t="s">
        <v>4075</v>
      </c>
      <c r="T27" s="174" t="s">
        <v>4077</v>
      </c>
      <c r="U27" s="94"/>
      <c r="V27" s="94"/>
      <c r="W27" s="41" t="s">
        <v>5259</v>
      </c>
      <c r="X27" s="41" t="s">
        <v>5318</v>
      </c>
      <c r="Y27" s="41">
        <v>80</v>
      </c>
      <c r="Z27" s="41" t="s">
        <v>5256</v>
      </c>
      <c r="AA27" s="204" t="s">
        <v>5252</v>
      </c>
      <c r="AB27" s="94"/>
    </row>
    <row r="28" spans="5:35" ht="60">
      <c r="E28" t="s">
        <v>25</v>
      </c>
      <c r="T28" s="22" t="s">
        <v>4063</v>
      </c>
      <c r="U28" s="94"/>
      <c r="V28" s="94"/>
      <c r="W28" s="41" t="s">
        <v>5676</v>
      </c>
      <c r="X28" s="41">
        <v>9373349244</v>
      </c>
      <c r="Y28" s="41">
        <v>150</v>
      </c>
      <c r="Z28" s="41" t="s">
        <v>5677</v>
      </c>
      <c r="AA28" s="94" t="s">
        <v>5671</v>
      </c>
      <c r="AB28" s="94"/>
    </row>
    <row r="29" spans="5:35">
      <c r="R29" s="94"/>
      <c r="S29" s="94"/>
      <c r="T29" s="94"/>
      <c r="U29" s="94"/>
      <c r="V29" s="94"/>
      <c r="W29" s="94"/>
      <c r="X29" s="94"/>
      <c r="Y29" s="94"/>
      <c r="Z29" s="94"/>
      <c r="AA29" s="94"/>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4495</v>
      </c>
      <c r="B1" t="s">
        <v>4498</v>
      </c>
      <c r="C1" t="s">
        <v>4499</v>
      </c>
    </row>
    <row r="2" spans="1:3">
      <c r="A2" t="s">
        <v>4496</v>
      </c>
      <c r="B2" t="s">
        <v>4500</v>
      </c>
      <c r="C2" t="s">
        <v>4501</v>
      </c>
    </row>
    <row r="3" spans="1:3">
      <c r="A3" t="s">
        <v>4497</v>
      </c>
      <c r="B3" t="s">
        <v>4499</v>
      </c>
      <c r="C3" t="s">
        <v>4502</v>
      </c>
    </row>
    <row r="5" spans="1:3">
      <c r="A5" t="s">
        <v>4706</v>
      </c>
      <c r="B5" t="s">
        <v>4721</v>
      </c>
    </row>
    <row r="6" spans="1:3">
      <c r="A6" t="s">
        <v>4716</v>
      </c>
      <c r="B6" t="s">
        <v>4722</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4525</v>
      </c>
      <c r="B73" s="111">
        <v>100000</v>
      </c>
      <c r="C73" s="97" t="s">
        <v>3875</v>
      </c>
      <c r="D73" s="97">
        <v>50</v>
      </c>
      <c r="E73" s="97">
        <f t="shared" si="3"/>
        <v>52</v>
      </c>
      <c r="F73" s="97">
        <f t="shared" si="1"/>
        <v>1</v>
      </c>
      <c r="G73" s="97">
        <f t="shared" si="2"/>
        <v>5100000</v>
      </c>
    </row>
    <row r="74" spans="1:9">
      <c r="A74" s="97" t="s">
        <v>4660</v>
      </c>
      <c r="B74" s="111">
        <v>-38130</v>
      </c>
      <c r="C74" s="97" t="s">
        <v>1024</v>
      </c>
      <c r="D74" s="97">
        <v>1</v>
      </c>
      <c r="E74" s="97">
        <f t="shared" si="3"/>
        <v>2</v>
      </c>
      <c r="F74" s="97">
        <f t="shared" si="1"/>
        <v>0</v>
      </c>
      <c r="G74" s="97">
        <f t="shared" si="2"/>
        <v>-76260</v>
      </c>
      <c r="I74" t="s">
        <v>25</v>
      </c>
    </row>
    <row r="75" spans="1:9">
      <c r="A75" s="97" t="s">
        <v>4663</v>
      </c>
      <c r="B75" s="111">
        <v>-20000</v>
      </c>
      <c r="C75" s="97" t="s">
        <v>4668</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4657</v>
      </c>
      <c r="C1" s="97" t="s">
        <v>3919</v>
      </c>
      <c r="D1" s="97" t="s">
        <v>8</v>
      </c>
      <c r="E1" s="94"/>
      <c r="F1" s="94"/>
      <c r="G1" s="94"/>
    </row>
    <row r="2" spans="1:7">
      <c r="A2" s="97" t="s">
        <v>4648</v>
      </c>
      <c r="B2" s="93">
        <v>10300</v>
      </c>
      <c r="C2" s="93">
        <v>0</v>
      </c>
      <c r="D2" s="97" t="s">
        <v>4658</v>
      </c>
      <c r="E2" s="94"/>
      <c r="F2" s="94"/>
      <c r="G2" s="94"/>
    </row>
    <row r="3" spans="1:7">
      <c r="A3" s="97" t="s">
        <v>4648</v>
      </c>
      <c r="B3" s="93">
        <v>0</v>
      </c>
      <c r="C3" s="93">
        <v>5500</v>
      </c>
      <c r="D3" s="97" t="s">
        <v>4659</v>
      </c>
      <c r="E3" s="94"/>
      <c r="F3" s="94"/>
      <c r="G3" s="94"/>
    </row>
    <row r="4" spans="1:7">
      <c r="A4" s="97" t="s">
        <v>3668</v>
      </c>
      <c r="B4" s="93">
        <v>0</v>
      </c>
      <c r="C4" s="93">
        <v>1000</v>
      </c>
      <c r="D4" s="97" t="s">
        <v>315</v>
      </c>
      <c r="E4" s="94"/>
      <c r="F4" s="94"/>
      <c r="G4" s="94"/>
    </row>
    <row r="5" spans="1:7">
      <c r="A5" s="97" t="s">
        <v>4663</v>
      </c>
      <c r="B5" s="93">
        <v>0</v>
      </c>
      <c r="C5" s="93">
        <v>1000</v>
      </c>
      <c r="D5" s="97" t="s">
        <v>315</v>
      </c>
      <c r="E5" s="94"/>
      <c r="F5" s="94"/>
      <c r="G5" s="94"/>
    </row>
    <row r="6" spans="1:7">
      <c r="A6" s="97" t="s">
        <v>4675</v>
      </c>
      <c r="B6" s="93">
        <v>0</v>
      </c>
      <c r="C6" s="93">
        <v>3000</v>
      </c>
      <c r="D6" s="97" t="s">
        <v>4679</v>
      </c>
      <c r="E6" s="94"/>
      <c r="F6" s="94"/>
      <c r="G6" s="94"/>
    </row>
    <row r="7" spans="1:7">
      <c r="A7" s="97" t="s">
        <v>4675</v>
      </c>
      <c r="B7" s="93">
        <v>9200</v>
      </c>
      <c r="C7" s="93">
        <v>0</v>
      </c>
      <c r="D7" s="97" t="s">
        <v>4658</v>
      </c>
      <c r="E7" s="94"/>
      <c r="F7" s="94"/>
      <c r="G7" s="94"/>
    </row>
    <row r="8" spans="1:7">
      <c r="A8" s="97" t="s">
        <v>4677</v>
      </c>
      <c r="B8" s="93">
        <v>0</v>
      </c>
      <c r="C8" s="93">
        <v>1000</v>
      </c>
      <c r="D8" s="97" t="s">
        <v>315</v>
      </c>
      <c r="E8" s="94"/>
      <c r="F8" s="94"/>
      <c r="G8" s="94"/>
    </row>
    <row r="9" spans="1:7">
      <c r="A9" s="97" t="s">
        <v>4684</v>
      </c>
      <c r="B9" s="97">
        <v>0</v>
      </c>
      <c r="C9" s="97">
        <v>1000</v>
      </c>
      <c r="D9" s="97" t="s">
        <v>315</v>
      </c>
      <c r="E9" s="94"/>
      <c r="F9" s="94"/>
      <c r="G9" s="94"/>
    </row>
    <row r="10" spans="1:7">
      <c r="A10" s="97" t="s">
        <v>4684</v>
      </c>
      <c r="B10" s="93">
        <v>10200</v>
      </c>
      <c r="C10" s="93">
        <v>0</v>
      </c>
      <c r="D10" s="97" t="s">
        <v>4658</v>
      </c>
      <c r="E10" s="94"/>
      <c r="F10" s="94"/>
      <c r="G10" s="94"/>
    </row>
    <row r="11" spans="1:7">
      <c r="A11" s="97" t="s">
        <v>4698</v>
      </c>
      <c r="B11" s="93">
        <v>0</v>
      </c>
      <c r="C11" s="93">
        <v>1000</v>
      </c>
      <c r="D11" s="97" t="s">
        <v>315</v>
      </c>
      <c r="E11" s="94"/>
      <c r="F11" s="94"/>
      <c r="G11" s="94"/>
    </row>
    <row r="12" spans="1:7">
      <c r="A12" s="97" t="s">
        <v>4715</v>
      </c>
      <c r="B12" s="93">
        <v>0</v>
      </c>
      <c r="C12" s="93">
        <v>1000</v>
      </c>
      <c r="D12" s="97" t="s">
        <v>315</v>
      </c>
      <c r="E12" s="94"/>
      <c r="F12" s="94"/>
      <c r="G12" s="94"/>
    </row>
    <row r="13" spans="1:7">
      <c r="A13" s="97" t="s">
        <v>4716</v>
      </c>
      <c r="B13" s="93">
        <v>0</v>
      </c>
      <c r="C13" s="93">
        <v>1000</v>
      </c>
      <c r="D13" s="97" t="s">
        <v>315</v>
      </c>
      <c r="E13" s="94"/>
      <c r="F13" s="94"/>
      <c r="G13" s="94"/>
    </row>
    <row r="14" spans="1:7">
      <c r="A14" s="97" t="s">
        <v>4742</v>
      </c>
      <c r="B14" s="93">
        <v>0</v>
      </c>
      <c r="C14" s="93">
        <v>1000</v>
      </c>
      <c r="D14" s="97" t="s">
        <v>315</v>
      </c>
      <c r="E14" s="94"/>
      <c r="F14" s="94"/>
      <c r="G14" s="94"/>
    </row>
    <row r="15" spans="1:7">
      <c r="A15" s="97" t="s">
        <v>4727</v>
      </c>
      <c r="B15" s="93">
        <v>0</v>
      </c>
      <c r="C15" s="93">
        <v>1000</v>
      </c>
      <c r="D15" s="97" t="s">
        <v>315</v>
      </c>
      <c r="E15" s="94"/>
      <c r="F15" s="94"/>
      <c r="G15" s="94"/>
    </row>
    <row r="16" spans="1:7">
      <c r="A16" s="97" t="s">
        <v>959</v>
      </c>
      <c r="B16" s="93">
        <v>10200</v>
      </c>
      <c r="C16" s="93">
        <v>0</v>
      </c>
      <c r="D16" s="97" t="s">
        <v>4658</v>
      </c>
      <c r="E16" s="94"/>
      <c r="F16" s="94"/>
      <c r="G16" s="94"/>
    </row>
    <row r="17" spans="1:9">
      <c r="A17" s="97" t="s">
        <v>959</v>
      </c>
      <c r="B17" s="93">
        <v>0</v>
      </c>
      <c r="C17" s="93">
        <v>1500</v>
      </c>
      <c r="D17" s="97" t="s">
        <v>315</v>
      </c>
      <c r="E17" s="94"/>
      <c r="F17" s="94"/>
      <c r="G17" s="94"/>
    </row>
    <row r="18" spans="1:9">
      <c r="A18" s="97" t="s">
        <v>4747</v>
      </c>
      <c r="B18" s="93">
        <v>0</v>
      </c>
      <c r="C18" s="93">
        <v>1000</v>
      </c>
      <c r="D18" s="97" t="s">
        <v>315</v>
      </c>
      <c r="E18" s="94"/>
      <c r="F18" s="94"/>
      <c r="G18" s="94"/>
    </row>
    <row r="19" spans="1:9">
      <c r="A19" s="97" t="s">
        <v>4749</v>
      </c>
      <c r="B19" s="93">
        <v>0</v>
      </c>
      <c r="C19" s="93">
        <v>1000</v>
      </c>
      <c r="D19" s="97" t="s">
        <v>315</v>
      </c>
      <c r="E19" s="94"/>
      <c r="F19" s="94"/>
      <c r="G19" s="94"/>
    </row>
    <row r="20" spans="1:9">
      <c r="A20" s="97" t="s">
        <v>4751</v>
      </c>
      <c r="B20" s="93">
        <v>0</v>
      </c>
      <c r="C20" s="93">
        <v>1000</v>
      </c>
      <c r="D20" s="97" t="s">
        <v>315</v>
      </c>
      <c r="E20" s="94"/>
      <c r="F20" s="94"/>
      <c r="G20" s="94"/>
    </row>
    <row r="21" spans="1:9">
      <c r="A21" s="97" t="s">
        <v>4754</v>
      </c>
      <c r="B21" s="93">
        <v>0</v>
      </c>
      <c r="C21" s="93">
        <v>1000</v>
      </c>
      <c r="D21" s="97" t="s">
        <v>315</v>
      </c>
      <c r="E21" s="94"/>
      <c r="F21" s="94"/>
      <c r="G21" s="94"/>
    </row>
    <row r="22" spans="1:9">
      <c r="A22" s="97" t="s">
        <v>4754</v>
      </c>
      <c r="B22" s="93">
        <v>9600</v>
      </c>
      <c r="C22" s="93">
        <v>0</v>
      </c>
      <c r="D22" s="97" t="s">
        <v>4658</v>
      </c>
      <c r="E22" s="94"/>
      <c r="F22" s="94"/>
      <c r="G22" s="94"/>
      <c r="I22" t="s">
        <v>25</v>
      </c>
    </row>
    <row r="23" spans="1:9">
      <c r="A23" s="97" t="s">
        <v>4760</v>
      </c>
      <c r="B23" s="93">
        <v>0</v>
      </c>
      <c r="C23" s="93">
        <v>1000</v>
      </c>
      <c r="D23" s="97" t="s">
        <v>315</v>
      </c>
      <c r="E23" s="94"/>
      <c r="F23" s="94"/>
      <c r="G23" s="94"/>
    </row>
    <row r="24" spans="1:9">
      <c r="A24" s="97" t="s">
        <v>4765</v>
      </c>
      <c r="B24" s="93">
        <v>0</v>
      </c>
      <c r="C24" s="93">
        <v>1000</v>
      </c>
      <c r="D24" s="97" t="s">
        <v>315</v>
      </c>
      <c r="E24" s="94"/>
      <c r="F24" s="94"/>
      <c r="G24" s="94"/>
    </row>
    <row r="25" spans="1:9">
      <c r="A25" s="97" t="s">
        <v>4774</v>
      </c>
      <c r="B25" s="93">
        <v>0</v>
      </c>
      <c r="C25" s="93">
        <v>1000</v>
      </c>
      <c r="D25" s="97" t="s">
        <v>315</v>
      </c>
    </row>
    <row r="26" spans="1:9">
      <c r="A26" s="97" t="s">
        <v>4801</v>
      </c>
      <c r="B26" s="93">
        <v>0</v>
      </c>
      <c r="C26" s="93">
        <v>12000</v>
      </c>
      <c r="D26" s="97" t="s">
        <v>4808</v>
      </c>
    </row>
    <row r="27" spans="1:9">
      <c r="A27" s="97" t="s">
        <v>4802</v>
      </c>
      <c r="B27" s="93">
        <v>0</v>
      </c>
      <c r="C27" s="93">
        <v>1000</v>
      </c>
      <c r="D27" s="97" t="s">
        <v>315</v>
      </c>
    </row>
    <row r="28" spans="1:9">
      <c r="A28" s="97" t="s">
        <v>4809</v>
      </c>
      <c r="B28" s="93">
        <v>0</v>
      </c>
      <c r="C28" s="93">
        <v>1000</v>
      </c>
      <c r="D28" s="97" t="s">
        <v>315</v>
      </c>
    </row>
    <row r="29" spans="1:9">
      <c r="A29" s="97" t="s">
        <v>4810</v>
      </c>
      <c r="B29" s="93">
        <v>0</v>
      </c>
      <c r="C29" s="93">
        <v>1000</v>
      </c>
      <c r="D29" s="97" t="s">
        <v>315</v>
      </c>
    </row>
    <row r="30" spans="1:9">
      <c r="A30" s="97" t="s">
        <v>4811</v>
      </c>
      <c r="B30" s="93">
        <v>0</v>
      </c>
      <c r="C30" s="93">
        <v>5500</v>
      </c>
      <c r="D30" s="97" t="s">
        <v>4659</v>
      </c>
    </row>
    <row r="31" spans="1:9">
      <c r="A31" s="97" t="s">
        <v>4811</v>
      </c>
      <c r="B31" s="93">
        <v>11000</v>
      </c>
      <c r="C31" s="93">
        <v>0</v>
      </c>
      <c r="D31" s="97" t="s">
        <v>4658</v>
      </c>
    </row>
    <row r="32" spans="1:9">
      <c r="A32" s="97" t="s">
        <v>4819</v>
      </c>
      <c r="B32" s="93">
        <v>0</v>
      </c>
      <c r="C32" s="93">
        <v>1000</v>
      </c>
      <c r="D32" s="97" t="s">
        <v>315</v>
      </c>
      <c r="H32" t="s">
        <v>25</v>
      </c>
    </row>
    <row r="33" spans="1:10">
      <c r="A33" s="97" t="s">
        <v>4820</v>
      </c>
      <c r="B33" s="93">
        <v>0</v>
      </c>
      <c r="C33" s="93">
        <v>1000</v>
      </c>
      <c r="D33" s="97" t="s">
        <v>315</v>
      </c>
      <c r="H33" t="s">
        <v>25</v>
      </c>
    </row>
    <row r="34" spans="1:10">
      <c r="A34" s="97" t="s">
        <v>4822</v>
      </c>
      <c r="B34" s="93">
        <v>0</v>
      </c>
      <c r="C34" s="93">
        <v>1000</v>
      </c>
      <c r="D34" s="97" t="s">
        <v>315</v>
      </c>
    </row>
    <row r="35" spans="1:10">
      <c r="A35" s="97" t="s">
        <v>4823</v>
      </c>
      <c r="B35" s="93">
        <v>0</v>
      </c>
      <c r="C35" s="93">
        <v>1000</v>
      </c>
      <c r="D35" s="97" t="s">
        <v>315</v>
      </c>
      <c r="J35" t="s">
        <v>25</v>
      </c>
    </row>
    <row r="36" spans="1:10">
      <c r="A36" s="97" t="s">
        <v>4828</v>
      </c>
      <c r="B36" s="93">
        <v>1000</v>
      </c>
      <c r="C36" s="93">
        <v>0</v>
      </c>
      <c r="D36" s="97" t="s">
        <v>315</v>
      </c>
    </row>
    <row r="37" spans="1:10">
      <c r="A37" s="97" t="s">
        <v>4828</v>
      </c>
      <c r="B37" s="93">
        <v>0</v>
      </c>
      <c r="C37" s="93">
        <v>11200</v>
      </c>
      <c r="D37" s="97" t="s">
        <v>4658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4677</v>
      </c>
      <c r="B48" s="220">
        <v>6700</v>
      </c>
      <c r="C48" s="220">
        <v>0</v>
      </c>
      <c r="D48" s="23" t="s">
        <v>4680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5330</v>
      </c>
      <c r="E1" s="97"/>
      <c r="F1" s="97"/>
      <c r="G1" s="97"/>
      <c r="H1" s="97"/>
      <c r="I1" s="97"/>
    </row>
    <row r="2" spans="1:15">
      <c r="A2" s="97">
        <v>1</v>
      </c>
      <c r="B2" s="97" t="s">
        <v>5228</v>
      </c>
      <c r="C2" s="93">
        <v>28500</v>
      </c>
      <c r="D2" s="97" t="s">
        <v>5333</v>
      </c>
      <c r="E2" s="97"/>
      <c r="F2" s="97"/>
      <c r="G2" s="97"/>
      <c r="H2" s="97"/>
      <c r="I2" s="97"/>
    </row>
    <row r="3" spans="1:15">
      <c r="A3" s="97">
        <v>2</v>
      </c>
      <c r="B3" s="97" t="s">
        <v>5255</v>
      </c>
      <c r="C3" s="93">
        <v>180200</v>
      </c>
      <c r="D3" s="97" t="s">
        <v>5332</v>
      </c>
      <c r="E3" s="97"/>
      <c r="F3" s="97"/>
      <c r="G3" s="97"/>
      <c r="H3" s="97"/>
      <c r="I3" s="97"/>
    </row>
    <row r="4" spans="1:15">
      <c r="A4" s="97">
        <v>3</v>
      </c>
      <c r="B4" s="97" t="s">
        <v>5325</v>
      </c>
      <c r="C4" s="93">
        <v>187000</v>
      </c>
      <c r="D4" s="97" t="s">
        <v>5331</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4525</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4535</v>
      </c>
      <c r="B262" s="111">
        <v>-66500</v>
      </c>
      <c r="C262" s="97">
        <v>2</v>
      </c>
      <c r="D262" s="97">
        <f t="shared" si="8"/>
        <v>540</v>
      </c>
      <c r="E262" s="97">
        <f t="shared" si="10"/>
        <v>0</v>
      </c>
      <c r="F262" s="97">
        <f t="shared" si="9"/>
        <v>-35910000</v>
      </c>
      <c r="G262" s="97" t="s">
        <v>3948</v>
      </c>
      <c r="K262" t="s">
        <v>25</v>
      </c>
    </row>
    <row r="263" spans="1:11">
      <c r="A263" s="97" t="s">
        <v>4536</v>
      </c>
      <c r="B263" s="111">
        <v>-37878</v>
      </c>
      <c r="C263" s="97">
        <v>2</v>
      </c>
      <c r="D263" s="97">
        <f t="shared" si="8"/>
        <v>538</v>
      </c>
      <c r="E263" s="97">
        <f t="shared" si="10"/>
        <v>0</v>
      </c>
      <c r="F263" s="97">
        <f t="shared" si="9"/>
        <v>-20378364</v>
      </c>
      <c r="G263" s="97" t="s">
        <v>4537</v>
      </c>
      <c r="J263" t="s">
        <v>25</v>
      </c>
      <c r="K263" t="s">
        <v>25</v>
      </c>
    </row>
    <row r="264" spans="1:11">
      <c r="A264" s="97" t="s">
        <v>4532</v>
      </c>
      <c r="B264" s="111">
        <v>-41500</v>
      </c>
      <c r="C264" s="97">
        <v>3</v>
      </c>
      <c r="D264" s="97">
        <f t="shared" si="8"/>
        <v>536</v>
      </c>
      <c r="E264" s="97">
        <f t="shared" si="10"/>
        <v>0</v>
      </c>
      <c r="F264" s="97">
        <f t="shared" si="9"/>
        <v>-22244000</v>
      </c>
      <c r="G264" s="97" t="s">
        <v>1024</v>
      </c>
      <c r="J264" t="s">
        <v>25</v>
      </c>
    </row>
    <row r="265" spans="1:11">
      <c r="A265" s="97" t="s">
        <v>4558</v>
      </c>
      <c r="B265" s="111">
        <v>-190000</v>
      </c>
      <c r="C265" s="97">
        <v>1</v>
      </c>
      <c r="D265" s="97">
        <f t="shared" si="8"/>
        <v>533</v>
      </c>
      <c r="E265" s="97">
        <f t="shared" si="10"/>
        <v>0</v>
      </c>
      <c r="F265" s="97">
        <f t="shared" si="9"/>
        <v>-101270000</v>
      </c>
      <c r="G265" s="97"/>
    </row>
    <row r="266" spans="1:11">
      <c r="A266" s="97" t="s">
        <v>4557</v>
      </c>
      <c r="B266" s="111">
        <v>-55000</v>
      </c>
      <c r="C266" s="97">
        <v>1</v>
      </c>
      <c r="D266" s="97">
        <f t="shared" si="8"/>
        <v>532</v>
      </c>
      <c r="E266" s="97">
        <f t="shared" si="10"/>
        <v>0</v>
      </c>
      <c r="F266" s="97">
        <f t="shared" si="9"/>
        <v>-29260000</v>
      </c>
      <c r="G266" s="97"/>
    </row>
    <row r="267" spans="1:11">
      <c r="A267" s="97" t="s">
        <v>4550</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4559</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4563</v>
      </c>
      <c r="B271" s="111">
        <v>-9380</v>
      </c>
      <c r="C271" s="97">
        <v>0</v>
      </c>
      <c r="D271" s="97">
        <f t="shared" si="8"/>
        <v>524</v>
      </c>
      <c r="E271" s="97">
        <f t="shared" si="10"/>
        <v>0</v>
      </c>
      <c r="F271" s="97">
        <f t="shared" si="9"/>
        <v>-4915120</v>
      </c>
      <c r="G271" s="97"/>
    </row>
    <row r="272" spans="1:11">
      <c r="A272" s="97" t="s">
        <v>4563</v>
      </c>
      <c r="B272" s="111">
        <v>-2400000</v>
      </c>
      <c r="C272" s="97">
        <v>3</v>
      </c>
      <c r="D272" s="97">
        <f t="shared" si="8"/>
        <v>524</v>
      </c>
      <c r="E272" s="97">
        <f t="shared" si="10"/>
        <v>1</v>
      </c>
      <c r="F272" s="97">
        <f t="shared" si="9"/>
        <v>-1255200000</v>
      </c>
      <c r="G272" s="97"/>
    </row>
    <row r="273" spans="1:11">
      <c r="A273" s="97" t="s">
        <v>4573</v>
      </c>
      <c r="B273" s="111">
        <v>15000</v>
      </c>
      <c r="C273" s="97">
        <v>93</v>
      </c>
      <c r="D273" s="97">
        <f t="shared" si="8"/>
        <v>521</v>
      </c>
      <c r="E273" s="97">
        <f t="shared" si="10"/>
        <v>1</v>
      </c>
      <c r="F273" s="97">
        <f t="shared" si="9"/>
        <v>7800000</v>
      </c>
      <c r="G273" s="97"/>
    </row>
    <row r="274" spans="1:11">
      <c r="A274" s="97" t="s">
        <v>4849</v>
      </c>
      <c r="B274" s="111">
        <v>3500000</v>
      </c>
      <c r="C274" s="97">
        <v>0</v>
      </c>
      <c r="D274" s="97">
        <f t="shared" si="8"/>
        <v>428</v>
      </c>
      <c r="E274" s="97">
        <f t="shared" si="10"/>
        <v>0</v>
      </c>
      <c r="F274" s="97">
        <f t="shared" si="9"/>
        <v>1498000000</v>
      </c>
      <c r="G274" s="97"/>
    </row>
    <row r="275" spans="1:11">
      <c r="A275" s="97" t="s">
        <v>4849</v>
      </c>
      <c r="B275" s="111">
        <v>-224012</v>
      </c>
      <c r="C275" s="97">
        <v>2</v>
      </c>
      <c r="D275" s="97">
        <f t="shared" si="8"/>
        <v>428</v>
      </c>
      <c r="E275" s="97">
        <f t="shared" si="10"/>
        <v>0</v>
      </c>
      <c r="F275" s="97">
        <f t="shared" si="9"/>
        <v>-95877136</v>
      </c>
      <c r="G275" s="97"/>
    </row>
    <row r="276" spans="1:11">
      <c r="A276" s="97" t="s">
        <v>4868</v>
      </c>
      <c r="B276" s="111">
        <v>-104671</v>
      </c>
      <c r="C276" s="97">
        <v>1</v>
      </c>
      <c r="D276" s="97">
        <f>D277+C276</f>
        <v>426</v>
      </c>
      <c r="E276" s="97">
        <f>IF(B277&gt;0,1,0)</f>
        <v>0</v>
      </c>
      <c r="F276" s="97">
        <f t="shared" si="9"/>
        <v>-44589846</v>
      </c>
      <c r="G276" s="97"/>
    </row>
    <row r="277" spans="1:11">
      <c r="A277" s="97" t="s">
        <v>4869</v>
      </c>
      <c r="B277" s="111">
        <v>-272000</v>
      </c>
      <c r="C277" s="97">
        <v>1</v>
      </c>
      <c r="D277" s="97">
        <f>D278+C277</f>
        <v>425</v>
      </c>
      <c r="E277" s="97">
        <f>IF(B278&gt;0,1,0)</f>
        <v>0</v>
      </c>
      <c r="F277" s="97">
        <f t="shared" si="9"/>
        <v>-115600000</v>
      </c>
      <c r="G277" s="97"/>
    </row>
    <row r="278" spans="1:11">
      <c r="A278" s="97" t="s">
        <v>4871</v>
      </c>
      <c r="B278" s="111">
        <v>-2565078</v>
      </c>
      <c r="C278" s="97">
        <v>2</v>
      </c>
      <c r="D278" s="97">
        <f>D279+C278</f>
        <v>424</v>
      </c>
      <c r="E278" s="97">
        <f>IF(B279&gt;0,1,0)</f>
        <v>0</v>
      </c>
      <c r="F278" s="97">
        <f t="shared" si="9"/>
        <v>-1087593072</v>
      </c>
      <c r="G278" s="97"/>
    </row>
    <row r="279" spans="1:11">
      <c r="A279" s="97" t="s">
        <v>4821</v>
      </c>
      <c r="B279" s="111">
        <v>-213500</v>
      </c>
      <c r="C279" s="97">
        <v>1</v>
      </c>
      <c r="D279" s="97">
        <f>D280+C279</f>
        <v>422</v>
      </c>
      <c r="E279" s="97">
        <f>IF(B280&gt;0,1,0)</f>
        <v>0</v>
      </c>
      <c r="F279" s="97">
        <f t="shared" si="9"/>
        <v>-90097000</v>
      </c>
      <c r="G279" s="97"/>
    </row>
    <row r="280" spans="1:11">
      <c r="A280" s="97" t="s">
        <v>4887</v>
      </c>
      <c r="B280" s="111">
        <v>-3810</v>
      </c>
      <c r="C280" s="97">
        <v>1</v>
      </c>
      <c r="D280" s="97">
        <f>D281+C280</f>
        <v>421</v>
      </c>
      <c r="E280" s="97">
        <f>IF(B281&gt;0,1,0)</f>
        <v>0</v>
      </c>
      <c r="F280" s="97">
        <f t="shared" si="9"/>
        <v>-1604010</v>
      </c>
      <c r="G280" s="97"/>
      <c r="J280" t="s">
        <v>25</v>
      </c>
    </row>
    <row r="281" spans="1:11">
      <c r="A281" s="97" t="s">
        <v>4888</v>
      </c>
      <c r="B281" s="111">
        <v>-120632</v>
      </c>
      <c r="C281" s="97">
        <v>1</v>
      </c>
      <c r="D281" s="97">
        <f t="shared" ref="D281:D288" si="11">D282+C281</f>
        <v>420</v>
      </c>
      <c r="E281" s="97">
        <f t="shared" ref="E281:E288" si="12">IF(B282&gt;0,1,0)</f>
        <v>1</v>
      </c>
      <c r="F281" s="97">
        <f t="shared" si="9"/>
        <v>-50544808</v>
      </c>
      <c r="G281" s="97"/>
      <c r="J281" t="s">
        <v>25</v>
      </c>
    </row>
    <row r="282" spans="1:11">
      <c r="A282" s="97" t="s">
        <v>4877</v>
      </c>
      <c r="B282" s="111">
        <v>80000</v>
      </c>
      <c r="C282" s="97">
        <v>0</v>
      </c>
      <c r="D282" s="97">
        <f t="shared" si="11"/>
        <v>419</v>
      </c>
      <c r="E282" s="97">
        <f t="shared" si="12"/>
        <v>0</v>
      </c>
      <c r="F282" s="97">
        <f t="shared" si="9"/>
        <v>33520000</v>
      </c>
      <c r="G282" s="97"/>
    </row>
    <row r="283" spans="1:11">
      <c r="A283" s="97" t="s">
        <v>4877</v>
      </c>
      <c r="B283" s="111">
        <v>-2500</v>
      </c>
      <c r="C283" s="97">
        <v>1</v>
      </c>
      <c r="D283" s="97">
        <f t="shared" si="11"/>
        <v>419</v>
      </c>
      <c r="E283" s="97">
        <f t="shared" si="12"/>
        <v>0</v>
      </c>
      <c r="F283" s="97">
        <f t="shared" si="9"/>
        <v>-1047500</v>
      </c>
      <c r="G283" s="97"/>
      <c r="J283" s="112">
        <f>B422-498804</f>
        <v>4142795</v>
      </c>
    </row>
    <row r="284" spans="1:11">
      <c r="A284" s="97" t="s">
        <v>4881</v>
      </c>
      <c r="B284" s="111">
        <v>-30000</v>
      </c>
      <c r="C284" s="97">
        <v>1</v>
      </c>
      <c r="D284" s="97">
        <f t="shared" si="11"/>
        <v>418</v>
      </c>
      <c r="E284" s="97">
        <f t="shared" si="12"/>
        <v>0</v>
      </c>
      <c r="F284" s="97">
        <f t="shared" si="9"/>
        <v>-12540000</v>
      </c>
      <c r="G284" s="97"/>
    </row>
    <row r="285" spans="1:11">
      <c r="A285" s="97" t="s">
        <v>4889</v>
      </c>
      <c r="B285" s="111">
        <v>-19800</v>
      </c>
      <c r="C285" s="97">
        <v>1</v>
      </c>
      <c r="D285" s="97">
        <f t="shared" si="11"/>
        <v>417</v>
      </c>
      <c r="E285" s="97">
        <f t="shared" si="12"/>
        <v>1</v>
      </c>
      <c r="F285" s="97">
        <f t="shared" si="9"/>
        <v>-8236800</v>
      </c>
      <c r="G285" s="97"/>
      <c r="K285" t="s">
        <v>25</v>
      </c>
    </row>
    <row r="286" spans="1:11">
      <c r="A286" s="97" t="s">
        <v>4880</v>
      </c>
      <c r="B286" s="111">
        <v>940000</v>
      </c>
      <c r="C286" s="97">
        <v>0</v>
      </c>
      <c r="D286" s="97">
        <f t="shared" si="11"/>
        <v>416</v>
      </c>
      <c r="E286" s="97">
        <f t="shared" si="12"/>
        <v>0</v>
      </c>
      <c r="F286" s="97">
        <f t="shared" si="9"/>
        <v>391040000</v>
      </c>
      <c r="G286" s="97"/>
    </row>
    <row r="287" spans="1:11">
      <c r="A287" s="97" t="s">
        <v>4880</v>
      </c>
      <c r="B287" s="111">
        <v>-201000</v>
      </c>
      <c r="C287" s="97">
        <v>1</v>
      </c>
      <c r="D287" s="97">
        <f t="shared" si="11"/>
        <v>416</v>
      </c>
      <c r="E287" s="97">
        <f t="shared" si="12"/>
        <v>0</v>
      </c>
      <c r="F287" s="97">
        <f t="shared" si="9"/>
        <v>-83616000</v>
      </c>
      <c r="G287" s="97"/>
    </row>
    <row r="288" spans="1:11">
      <c r="A288" s="97" t="s">
        <v>4885</v>
      </c>
      <c r="B288" s="111">
        <v>-320930</v>
      </c>
      <c r="C288" s="97">
        <v>3</v>
      </c>
      <c r="D288" s="97">
        <f t="shared" si="11"/>
        <v>415</v>
      </c>
      <c r="E288" s="97">
        <f t="shared" si="12"/>
        <v>0</v>
      </c>
      <c r="F288" s="97">
        <f t="shared" si="9"/>
        <v>-133185950</v>
      </c>
      <c r="G288" s="97"/>
    </row>
    <row r="289" spans="1:10">
      <c r="A289" s="97" t="s">
        <v>4886</v>
      </c>
      <c r="B289" s="111">
        <v>-400000</v>
      </c>
      <c r="C289" s="97">
        <v>1</v>
      </c>
      <c r="D289" s="97">
        <f t="shared" ref="D289:D306" si="13">D290+C289</f>
        <v>412</v>
      </c>
      <c r="E289" s="97">
        <f t="shared" ref="E289:E306" si="14">IF(B290&gt;0,1,0)</f>
        <v>0</v>
      </c>
      <c r="F289" s="97">
        <f t="shared" si="9"/>
        <v>-164800000</v>
      </c>
      <c r="G289" s="97"/>
    </row>
    <row r="290" spans="1:10">
      <c r="A290" s="97" t="s">
        <v>4892</v>
      </c>
      <c r="B290" s="111">
        <v>-16500</v>
      </c>
      <c r="C290" s="97">
        <v>11</v>
      </c>
      <c r="D290" s="97">
        <f t="shared" si="13"/>
        <v>411</v>
      </c>
      <c r="E290" s="97">
        <f t="shared" si="14"/>
        <v>1</v>
      </c>
      <c r="F290" s="97">
        <f t="shared" si="9"/>
        <v>-6765000</v>
      </c>
      <c r="G290" s="97"/>
    </row>
    <row r="291" spans="1:10">
      <c r="A291" s="97" t="s">
        <v>4910</v>
      </c>
      <c r="B291" s="111">
        <v>2600000</v>
      </c>
      <c r="C291" s="97">
        <v>2</v>
      </c>
      <c r="D291" s="97">
        <f t="shared" si="13"/>
        <v>400</v>
      </c>
      <c r="E291" s="97">
        <f t="shared" si="14"/>
        <v>0</v>
      </c>
      <c r="F291" s="97">
        <f t="shared" si="9"/>
        <v>1040000000</v>
      </c>
      <c r="G291" s="97"/>
      <c r="I291" t="s">
        <v>25</v>
      </c>
    </row>
    <row r="292" spans="1:10">
      <c r="A292" s="97" t="s">
        <v>4911</v>
      </c>
      <c r="B292" s="111">
        <v>-1170000</v>
      </c>
      <c r="C292" s="97">
        <v>0</v>
      </c>
      <c r="D292" s="97">
        <f t="shared" si="13"/>
        <v>398</v>
      </c>
      <c r="E292" s="97">
        <f t="shared" si="14"/>
        <v>0</v>
      </c>
      <c r="F292" s="97">
        <f t="shared" si="9"/>
        <v>-465660000</v>
      </c>
      <c r="G292" s="97" t="s">
        <v>4912</v>
      </c>
      <c r="J292" t="s">
        <v>25</v>
      </c>
    </row>
    <row r="293" spans="1:10">
      <c r="A293" s="97" t="s">
        <v>4911</v>
      </c>
      <c r="B293" s="111">
        <v>-9000</v>
      </c>
      <c r="C293" s="97">
        <v>1</v>
      </c>
      <c r="D293" s="97">
        <f t="shared" si="13"/>
        <v>398</v>
      </c>
      <c r="E293" s="97">
        <f t="shared" si="14"/>
        <v>0</v>
      </c>
      <c r="F293" s="97">
        <f t="shared" si="9"/>
        <v>-3582000</v>
      </c>
      <c r="G293" s="97"/>
    </row>
    <row r="294" spans="1:10">
      <c r="A294" s="97" t="s">
        <v>4913</v>
      </c>
      <c r="B294" s="111">
        <v>-1145000</v>
      </c>
      <c r="C294" s="97">
        <v>0</v>
      </c>
      <c r="D294" s="97">
        <f t="shared" si="13"/>
        <v>397</v>
      </c>
      <c r="E294" s="97">
        <f t="shared" si="14"/>
        <v>0</v>
      </c>
      <c r="F294" s="97">
        <f t="shared" si="9"/>
        <v>-454565000</v>
      </c>
      <c r="G294" s="97" t="s">
        <v>4914</v>
      </c>
    </row>
    <row r="295" spans="1:10">
      <c r="A295" s="97" t="s">
        <v>4913</v>
      </c>
      <c r="B295" s="111">
        <v>-94549</v>
      </c>
      <c r="C295" s="97">
        <v>2</v>
      </c>
      <c r="D295" s="97">
        <f t="shared" si="13"/>
        <v>397</v>
      </c>
      <c r="E295" s="97">
        <f t="shared" si="14"/>
        <v>0</v>
      </c>
      <c r="F295" s="97">
        <f t="shared" si="9"/>
        <v>-37535953</v>
      </c>
      <c r="G295" s="97" t="s">
        <v>504</v>
      </c>
      <c r="J295" t="s">
        <v>25</v>
      </c>
    </row>
    <row r="296" spans="1:10">
      <c r="A296" s="97" t="s">
        <v>5065</v>
      </c>
      <c r="B296" s="111">
        <v>-3500</v>
      </c>
      <c r="C296" s="97">
        <v>1</v>
      </c>
      <c r="D296" s="97">
        <f t="shared" si="13"/>
        <v>395</v>
      </c>
      <c r="E296" s="97">
        <f t="shared" si="14"/>
        <v>0</v>
      </c>
      <c r="F296" s="97">
        <f t="shared" si="9"/>
        <v>-1382500</v>
      </c>
      <c r="G296" s="97"/>
      <c r="I296" s="112">
        <f>B422-735892</f>
        <v>3905707</v>
      </c>
    </row>
    <row r="297" spans="1:10">
      <c r="A297" s="97" t="s">
        <v>4921</v>
      </c>
      <c r="B297" s="111">
        <v>-44900</v>
      </c>
      <c r="C297" s="97">
        <v>0</v>
      </c>
      <c r="D297" s="97">
        <f t="shared" si="13"/>
        <v>394</v>
      </c>
      <c r="E297" s="97">
        <f t="shared" si="14"/>
        <v>0</v>
      </c>
      <c r="F297" s="97">
        <f t="shared" si="9"/>
        <v>-17690600</v>
      </c>
      <c r="G297" s="97"/>
    </row>
    <row r="298" spans="1:10">
      <c r="A298" s="97" t="s">
        <v>4921</v>
      </c>
      <c r="B298" s="111">
        <v>-50000</v>
      </c>
      <c r="C298" s="97">
        <v>10</v>
      </c>
      <c r="D298" s="97">
        <f t="shared" si="13"/>
        <v>394</v>
      </c>
      <c r="E298" s="97">
        <f t="shared" si="14"/>
        <v>0</v>
      </c>
      <c r="F298" s="97">
        <f t="shared" si="9"/>
        <v>-19700000</v>
      </c>
      <c r="G298" s="97" t="s">
        <v>504</v>
      </c>
    </row>
    <row r="299" spans="1:10">
      <c r="A299" s="97" t="s">
        <v>4936</v>
      </c>
      <c r="B299" s="111">
        <v>-19850</v>
      </c>
      <c r="C299" s="97">
        <v>1</v>
      </c>
      <c r="D299" s="97">
        <f t="shared" si="13"/>
        <v>384</v>
      </c>
      <c r="E299" s="97">
        <f t="shared" si="14"/>
        <v>0</v>
      </c>
      <c r="F299" s="97">
        <f t="shared" si="9"/>
        <v>-7622400</v>
      </c>
      <c r="G299" s="97"/>
    </row>
    <row r="300" spans="1:10">
      <c r="A300" s="97" t="s">
        <v>4937</v>
      </c>
      <c r="B300" s="111">
        <v>-39770</v>
      </c>
      <c r="C300" s="97">
        <v>6</v>
      </c>
      <c r="D300" s="97">
        <f t="shared" si="13"/>
        <v>383</v>
      </c>
      <c r="E300" s="97">
        <f t="shared" si="14"/>
        <v>0</v>
      </c>
      <c r="F300" s="97">
        <f t="shared" si="9"/>
        <v>-15231910</v>
      </c>
      <c r="G300" s="97"/>
    </row>
    <row r="301" spans="1:10">
      <c r="A301" s="97" t="s">
        <v>4954</v>
      </c>
      <c r="B301" s="111">
        <v>-40000</v>
      </c>
      <c r="C301" s="97">
        <v>71</v>
      </c>
      <c r="D301" s="97">
        <f t="shared" si="13"/>
        <v>377</v>
      </c>
      <c r="E301" s="97">
        <f t="shared" si="14"/>
        <v>1</v>
      </c>
      <c r="F301" s="97">
        <f t="shared" si="9"/>
        <v>-15040000</v>
      </c>
      <c r="G301" s="97"/>
    </row>
    <row r="302" spans="1:10">
      <c r="A302" s="97" t="s">
        <v>5054</v>
      </c>
      <c r="B302" s="111">
        <v>4000000</v>
      </c>
      <c r="C302" s="97">
        <v>1</v>
      </c>
      <c r="D302" s="97">
        <f t="shared" si="13"/>
        <v>306</v>
      </c>
      <c r="E302" s="97">
        <f t="shared" si="14"/>
        <v>0</v>
      </c>
      <c r="F302" s="97">
        <f t="shared" si="9"/>
        <v>1224000000</v>
      </c>
      <c r="G302" s="97"/>
    </row>
    <row r="303" spans="1:10">
      <c r="A303" s="97" t="s">
        <v>5058</v>
      </c>
      <c r="B303" s="111">
        <v>-123860</v>
      </c>
      <c r="C303" s="97">
        <v>1</v>
      </c>
      <c r="D303" s="97">
        <f t="shared" si="13"/>
        <v>305</v>
      </c>
      <c r="E303" s="97">
        <f t="shared" si="14"/>
        <v>0</v>
      </c>
      <c r="F303" s="97">
        <f t="shared" si="9"/>
        <v>-37777300</v>
      </c>
      <c r="G303" s="97"/>
    </row>
    <row r="304" spans="1:10">
      <c r="A304" s="97" t="s">
        <v>5023</v>
      </c>
      <c r="B304" s="111">
        <v>-1660000</v>
      </c>
      <c r="C304" s="97">
        <v>1</v>
      </c>
      <c r="D304" s="97">
        <f t="shared" si="13"/>
        <v>304</v>
      </c>
      <c r="E304" s="97">
        <f t="shared" si="14"/>
        <v>0</v>
      </c>
      <c r="F304" s="97">
        <f t="shared" si="9"/>
        <v>-504640000</v>
      </c>
      <c r="G304" s="97"/>
    </row>
    <row r="305" spans="1:11">
      <c r="A305" s="97" t="s">
        <v>5064</v>
      </c>
      <c r="B305" s="111">
        <v>-63857</v>
      </c>
      <c r="C305" s="97">
        <v>0</v>
      </c>
      <c r="D305" s="97">
        <f t="shared" si="13"/>
        <v>303</v>
      </c>
      <c r="E305" s="97">
        <f t="shared" si="14"/>
        <v>0</v>
      </c>
      <c r="F305" s="97">
        <f t="shared" si="9"/>
        <v>-19348671</v>
      </c>
      <c r="G305" s="97"/>
    </row>
    <row r="306" spans="1:11">
      <c r="A306" s="97" t="s">
        <v>5066</v>
      </c>
      <c r="B306" s="111">
        <v>-631</v>
      </c>
      <c r="C306" s="97">
        <v>2</v>
      </c>
      <c r="D306" s="97">
        <f t="shared" si="13"/>
        <v>303</v>
      </c>
      <c r="E306" s="97">
        <f t="shared" si="14"/>
        <v>0</v>
      </c>
      <c r="F306" s="97">
        <f t="shared" si="9"/>
        <v>-191193</v>
      </c>
      <c r="G306" s="97" t="s">
        <v>504</v>
      </c>
      <c r="J306" t="s">
        <v>25</v>
      </c>
    </row>
    <row r="307" spans="1:11">
      <c r="A307" s="97" t="s">
        <v>5070</v>
      </c>
      <c r="B307" s="111">
        <v>-248905</v>
      </c>
      <c r="C307" s="97">
        <v>2</v>
      </c>
      <c r="D307" s="97">
        <f t="shared" ref="D307:D318" si="15">D308+C307</f>
        <v>301</v>
      </c>
      <c r="E307" s="97">
        <f t="shared" ref="E307:E318" si="16">IF(B308&gt;0,1,0)</f>
        <v>0</v>
      </c>
      <c r="F307" s="97">
        <f t="shared" si="9"/>
        <v>-74920405</v>
      </c>
      <c r="G307" s="97"/>
    </row>
    <row r="308" spans="1:11">
      <c r="A308" s="97" t="s">
        <v>5068</v>
      </c>
      <c r="B308" s="111">
        <v>-200000</v>
      </c>
      <c r="C308" s="97">
        <v>0</v>
      </c>
      <c r="D308" s="97">
        <f t="shared" si="15"/>
        <v>299</v>
      </c>
      <c r="E308" s="97">
        <f t="shared" si="16"/>
        <v>0</v>
      </c>
      <c r="F308" s="97">
        <f t="shared" si="9"/>
        <v>-59800000</v>
      </c>
      <c r="G308" s="97"/>
    </row>
    <row r="309" spans="1:11">
      <c r="A309" s="97" t="s">
        <v>5068</v>
      </c>
      <c r="B309" s="111">
        <v>-200000</v>
      </c>
      <c r="C309" s="97">
        <v>3</v>
      </c>
      <c r="D309" s="97">
        <f t="shared" si="15"/>
        <v>299</v>
      </c>
      <c r="E309" s="97">
        <f t="shared" si="16"/>
        <v>0</v>
      </c>
      <c r="F309" s="97">
        <f t="shared" si="9"/>
        <v>-59800000</v>
      </c>
      <c r="G309" s="97"/>
    </row>
    <row r="310" spans="1:11">
      <c r="A310" s="97" t="s">
        <v>5075</v>
      </c>
      <c r="B310" s="111">
        <v>-832590</v>
      </c>
      <c r="C310" s="97">
        <v>0</v>
      </c>
      <c r="D310" s="97">
        <f t="shared" si="15"/>
        <v>296</v>
      </c>
      <c r="E310" s="97">
        <f t="shared" si="16"/>
        <v>0</v>
      </c>
      <c r="F310" s="97">
        <f t="shared" si="9"/>
        <v>-246446640</v>
      </c>
      <c r="G310" s="97"/>
    </row>
    <row r="311" spans="1:11">
      <c r="A311" s="97" t="s">
        <v>5075</v>
      </c>
      <c r="B311" s="111">
        <v>-29950</v>
      </c>
      <c r="C311" s="97">
        <v>1</v>
      </c>
      <c r="D311" s="97">
        <f t="shared" si="15"/>
        <v>296</v>
      </c>
      <c r="E311" s="97">
        <f t="shared" si="16"/>
        <v>0</v>
      </c>
      <c r="F311" s="97">
        <f t="shared" si="9"/>
        <v>-8865200</v>
      </c>
      <c r="G311" s="97"/>
      <c r="K311" t="s">
        <v>25</v>
      </c>
    </row>
    <row r="312" spans="1:11">
      <c r="A312" s="97" t="s">
        <v>5117</v>
      </c>
      <c r="B312" s="111">
        <v>-8500</v>
      </c>
      <c r="C312" s="97">
        <v>1</v>
      </c>
      <c r="D312" s="97">
        <f t="shared" si="15"/>
        <v>295</v>
      </c>
      <c r="E312" s="97">
        <f t="shared" si="16"/>
        <v>0</v>
      </c>
      <c r="F312" s="97">
        <f t="shared" si="9"/>
        <v>-2507500</v>
      </c>
      <c r="G312" s="97"/>
    </row>
    <row r="313" spans="1:11">
      <c r="A313" s="97" t="s">
        <v>5093</v>
      </c>
      <c r="B313" s="111">
        <v>-116300</v>
      </c>
      <c r="C313" s="97">
        <v>1</v>
      </c>
      <c r="D313" s="97">
        <f t="shared" si="15"/>
        <v>294</v>
      </c>
      <c r="E313" s="97">
        <f t="shared" si="16"/>
        <v>0</v>
      </c>
      <c r="F313" s="97">
        <f t="shared" si="9"/>
        <v>-34192200</v>
      </c>
      <c r="G313" s="97"/>
    </row>
    <row r="314" spans="1:11">
      <c r="A314" s="97" t="s">
        <v>5078</v>
      </c>
      <c r="B314" s="111">
        <v>-75500</v>
      </c>
      <c r="C314" s="97">
        <v>1</v>
      </c>
      <c r="D314" s="97">
        <f t="shared" si="15"/>
        <v>293</v>
      </c>
      <c r="E314" s="97">
        <f t="shared" si="16"/>
        <v>0</v>
      </c>
      <c r="F314" s="97">
        <f t="shared" ref="F314:F331" si="17">B314*(D314-E314)</f>
        <v>-22121500</v>
      </c>
      <c r="G314" s="97"/>
    </row>
    <row r="315" spans="1:11">
      <c r="A315" s="97" t="s">
        <v>5088</v>
      </c>
      <c r="B315" s="111">
        <v>-331250</v>
      </c>
      <c r="C315" s="97">
        <v>2</v>
      </c>
      <c r="D315" s="97">
        <f t="shared" si="15"/>
        <v>292</v>
      </c>
      <c r="E315" s="97">
        <f t="shared" si="16"/>
        <v>0</v>
      </c>
      <c r="F315" s="97">
        <f t="shared" si="17"/>
        <v>-96725000</v>
      </c>
      <c r="G315" s="97"/>
    </row>
    <row r="316" spans="1:11">
      <c r="A316" s="97" t="s">
        <v>5118</v>
      </c>
      <c r="B316" s="111">
        <v>-39000</v>
      </c>
      <c r="C316" s="97">
        <v>1</v>
      </c>
      <c r="D316" s="97">
        <f t="shared" si="15"/>
        <v>290</v>
      </c>
      <c r="E316" s="97">
        <f t="shared" si="16"/>
        <v>0</v>
      </c>
      <c r="F316" s="97">
        <f t="shared" si="17"/>
        <v>-11310000</v>
      </c>
      <c r="G316" s="97"/>
      <c r="I316" s="112"/>
    </row>
    <row r="317" spans="1:11">
      <c r="A317" s="97" t="s">
        <v>5090</v>
      </c>
      <c r="B317" s="111">
        <v>-44000</v>
      </c>
      <c r="C317" s="97">
        <v>3</v>
      </c>
      <c r="D317" s="97">
        <f t="shared" si="15"/>
        <v>289</v>
      </c>
      <c r="E317" s="97">
        <f t="shared" si="16"/>
        <v>0</v>
      </c>
      <c r="F317" s="97">
        <f t="shared" si="17"/>
        <v>-12716000</v>
      </c>
      <c r="G317" s="97"/>
      <c r="J317" t="s">
        <v>25</v>
      </c>
    </row>
    <row r="318" spans="1:11">
      <c r="A318" s="97" t="s">
        <v>5036</v>
      </c>
      <c r="B318" s="111">
        <v>-30476</v>
      </c>
      <c r="C318" s="97">
        <v>1</v>
      </c>
      <c r="D318" s="97">
        <f t="shared" si="15"/>
        <v>286</v>
      </c>
      <c r="E318" s="97">
        <f t="shared" si="16"/>
        <v>0</v>
      </c>
      <c r="F318" s="97">
        <f t="shared" si="17"/>
        <v>-8716136</v>
      </c>
      <c r="G318" s="97"/>
    </row>
    <row r="319" spans="1:11">
      <c r="A319" s="97" t="s">
        <v>5096</v>
      </c>
      <c r="B319" s="111">
        <v>-4000</v>
      </c>
      <c r="C319" s="97">
        <v>11</v>
      </c>
      <c r="D319" s="97">
        <f t="shared" ref="D319:D326" si="18">D320+C319</f>
        <v>285</v>
      </c>
      <c r="E319" s="97">
        <f t="shared" ref="E319:E326" si="19">IF(B320&gt;0,1,0)</f>
        <v>1</v>
      </c>
      <c r="F319" s="97">
        <f t="shared" si="17"/>
        <v>-1136000</v>
      </c>
      <c r="G319" s="97"/>
    </row>
    <row r="320" spans="1:11">
      <c r="A320" s="97" t="s">
        <v>5119</v>
      </c>
      <c r="B320" s="111">
        <v>6300000</v>
      </c>
      <c r="C320" s="97">
        <v>1</v>
      </c>
      <c r="D320" s="97">
        <f t="shared" si="18"/>
        <v>274</v>
      </c>
      <c r="E320" s="97">
        <f t="shared" si="19"/>
        <v>0</v>
      </c>
      <c r="F320" s="97">
        <f t="shared" si="17"/>
        <v>1726200000</v>
      </c>
      <c r="G320" s="97"/>
    </row>
    <row r="321" spans="1:9">
      <c r="A321" s="97" t="s">
        <v>5143</v>
      </c>
      <c r="B321" s="111">
        <v>-6000000</v>
      </c>
      <c r="C321" s="97">
        <v>2</v>
      </c>
      <c r="D321" s="97">
        <f t="shared" si="18"/>
        <v>273</v>
      </c>
      <c r="E321" s="97">
        <f t="shared" si="19"/>
        <v>0</v>
      </c>
      <c r="F321" s="97">
        <f t="shared" si="17"/>
        <v>-1638000000</v>
      </c>
      <c r="G321" s="97"/>
    </row>
    <row r="322" spans="1:9">
      <c r="A322" s="97" t="s">
        <v>5141</v>
      </c>
      <c r="B322" s="111">
        <v>-295000</v>
      </c>
      <c r="C322" s="97">
        <v>0</v>
      </c>
      <c r="D322" s="97">
        <f t="shared" si="18"/>
        <v>271</v>
      </c>
      <c r="E322" s="97">
        <f t="shared" si="19"/>
        <v>1</v>
      </c>
      <c r="F322" s="97">
        <f t="shared" si="17"/>
        <v>-79650000</v>
      </c>
      <c r="G322" s="97"/>
    </row>
    <row r="323" spans="1:9">
      <c r="A323" s="97" t="s">
        <v>5141</v>
      </c>
      <c r="B323" s="111">
        <v>483</v>
      </c>
      <c r="C323" s="97">
        <v>8</v>
      </c>
      <c r="D323" s="97">
        <f t="shared" si="18"/>
        <v>271</v>
      </c>
      <c r="E323" s="97">
        <f t="shared" si="19"/>
        <v>1</v>
      </c>
      <c r="F323" s="97">
        <f t="shared" si="17"/>
        <v>130410</v>
      </c>
      <c r="G323" s="97" t="s">
        <v>688</v>
      </c>
      <c r="I323" t="s">
        <v>25</v>
      </c>
    </row>
    <row r="324" spans="1:9">
      <c r="A324" s="97" t="s">
        <v>5160</v>
      </c>
      <c r="B324" s="111">
        <v>1700000</v>
      </c>
      <c r="C324" s="97">
        <v>0</v>
      </c>
      <c r="D324" s="97">
        <f t="shared" si="18"/>
        <v>263</v>
      </c>
      <c r="E324" s="97">
        <f t="shared" si="19"/>
        <v>0</v>
      </c>
      <c r="F324" s="97">
        <f t="shared" si="17"/>
        <v>447100000</v>
      </c>
      <c r="G324" s="97"/>
    </row>
    <row r="325" spans="1:9">
      <c r="A325" s="97" t="s">
        <v>5160</v>
      </c>
      <c r="B325" s="111">
        <v>-53000</v>
      </c>
      <c r="C325" s="97">
        <v>1</v>
      </c>
      <c r="D325" s="97">
        <f t="shared" si="18"/>
        <v>263</v>
      </c>
      <c r="E325" s="97">
        <f t="shared" si="19"/>
        <v>0</v>
      </c>
      <c r="F325" s="97">
        <f t="shared" si="17"/>
        <v>-13939000</v>
      </c>
      <c r="G325" s="97"/>
    </row>
    <row r="326" spans="1:9">
      <c r="A326" s="97" t="s">
        <v>5161</v>
      </c>
      <c r="B326" s="111">
        <v>-1300000</v>
      </c>
      <c r="C326" s="97">
        <v>0</v>
      </c>
      <c r="D326" s="97">
        <f t="shared" si="18"/>
        <v>262</v>
      </c>
      <c r="E326" s="97">
        <f t="shared" si="19"/>
        <v>0</v>
      </c>
      <c r="F326" s="97">
        <f t="shared" si="17"/>
        <v>-340600000</v>
      </c>
      <c r="G326" s="97"/>
      <c r="I326" t="s">
        <v>25</v>
      </c>
    </row>
    <row r="327" spans="1:9">
      <c r="A327" s="97" t="s">
        <v>5161</v>
      </c>
      <c r="B327" s="111">
        <v>-41500</v>
      </c>
      <c r="C327" s="97">
        <v>1</v>
      </c>
      <c r="D327" s="97">
        <f t="shared" ref="D327:D333" si="20">D328+C327</f>
        <v>262</v>
      </c>
      <c r="E327" s="97">
        <f t="shared" ref="E327:E333" si="21">IF(B328&gt;0,1,0)</f>
        <v>0</v>
      </c>
      <c r="F327" s="97">
        <f t="shared" si="17"/>
        <v>-10873000</v>
      </c>
      <c r="G327" s="97"/>
    </row>
    <row r="328" spans="1:9">
      <c r="A328" s="97" t="s">
        <v>5164</v>
      </c>
      <c r="B328" s="111">
        <v>-57700</v>
      </c>
      <c r="C328" s="97">
        <v>3</v>
      </c>
      <c r="D328" s="97">
        <f t="shared" si="20"/>
        <v>261</v>
      </c>
      <c r="E328" s="97">
        <f t="shared" si="21"/>
        <v>0</v>
      </c>
      <c r="F328" s="97">
        <f t="shared" si="17"/>
        <v>-15059700</v>
      </c>
      <c r="G328" s="97"/>
    </row>
    <row r="329" spans="1:9">
      <c r="A329" s="97" t="s">
        <v>5167</v>
      </c>
      <c r="B329" s="111">
        <v>-5600</v>
      </c>
      <c r="C329" s="97">
        <v>1</v>
      </c>
      <c r="D329" s="97">
        <f t="shared" si="20"/>
        <v>258</v>
      </c>
      <c r="E329" s="97">
        <f t="shared" si="21"/>
        <v>0</v>
      </c>
      <c r="F329" s="97">
        <f t="shared" si="17"/>
        <v>-1444800</v>
      </c>
      <c r="G329" s="97"/>
    </row>
    <row r="330" spans="1:9">
      <c r="A330" s="97" t="s">
        <v>5168</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5179</v>
      </c>
      <c r="B333" s="111">
        <v>-78508</v>
      </c>
      <c r="C333" s="97">
        <v>2</v>
      </c>
      <c r="D333" s="97">
        <f t="shared" si="20"/>
        <v>253</v>
      </c>
      <c r="E333" s="97">
        <f t="shared" si="21"/>
        <v>0</v>
      </c>
      <c r="F333" s="97">
        <f>B333*(D333-E333)</f>
        <v>-19862524</v>
      </c>
      <c r="G333" s="97"/>
    </row>
    <row r="334" spans="1:9">
      <c r="A334" s="97" t="s">
        <v>5180</v>
      </c>
      <c r="B334" s="111">
        <v>-2000</v>
      </c>
      <c r="C334" s="97">
        <v>4</v>
      </c>
      <c r="D334" s="97">
        <f t="shared" ref="D334:D352" si="22">D335+C334</f>
        <v>251</v>
      </c>
      <c r="E334" s="97">
        <f t="shared" ref="E334:E352" si="23">IF(B335&gt;0,1,0)</f>
        <v>1</v>
      </c>
      <c r="F334" s="97">
        <f t="shared" ref="F334:F352" si="24">B334*(D334-E334)</f>
        <v>-500000</v>
      </c>
      <c r="G334" s="97"/>
    </row>
    <row r="335" spans="1:9">
      <c r="A335" s="97" t="s">
        <v>5183</v>
      </c>
      <c r="B335" s="111">
        <v>2200472</v>
      </c>
      <c r="C335" s="97">
        <v>1</v>
      </c>
      <c r="D335" s="97">
        <f t="shared" si="22"/>
        <v>247</v>
      </c>
      <c r="E335" s="97">
        <f t="shared" si="23"/>
        <v>0</v>
      </c>
      <c r="F335" s="97">
        <f t="shared" si="24"/>
        <v>543516584</v>
      </c>
      <c r="G335" s="97"/>
      <c r="H335" t="s">
        <v>25</v>
      </c>
    </row>
    <row r="336" spans="1:9">
      <c r="A336" s="97" t="s">
        <v>5189</v>
      </c>
      <c r="B336" s="111">
        <v>-28000</v>
      </c>
      <c r="C336" s="97">
        <v>2</v>
      </c>
      <c r="D336" s="97">
        <f t="shared" si="22"/>
        <v>246</v>
      </c>
      <c r="E336" s="97">
        <f t="shared" si="23"/>
        <v>1</v>
      </c>
      <c r="F336" s="97">
        <f t="shared" si="24"/>
        <v>-6860000</v>
      </c>
      <c r="G336" s="97"/>
    </row>
    <row r="337" spans="1:13">
      <c r="A337" s="97" t="s">
        <v>5188</v>
      </c>
      <c r="B337" s="111">
        <v>2500000</v>
      </c>
      <c r="C337" s="97">
        <v>0</v>
      </c>
      <c r="D337" s="97">
        <f t="shared" si="22"/>
        <v>244</v>
      </c>
      <c r="E337" s="97">
        <f t="shared" si="23"/>
        <v>0</v>
      </c>
      <c r="F337" s="97">
        <f t="shared" si="24"/>
        <v>610000000</v>
      </c>
      <c r="G337" s="97"/>
    </row>
    <row r="338" spans="1:13">
      <c r="A338" s="97" t="s">
        <v>5188</v>
      </c>
      <c r="B338" s="111">
        <v>-407500</v>
      </c>
      <c r="C338" s="97">
        <v>2</v>
      </c>
      <c r="D338" s="97">
        <f t="shared" si="22"/>
        <v>244</v>
      </c>
      <c r="E338" s="97">
        <f t="shared" si="23"/>
        <v>0</v>
      </c>
      <c r="F338" s="97">
        <f t="shared" si="24"/>
        <v>-99430000</v>
      </c>
      <c r="G338" s="97"/>
    </row>
    <row r="339" spans="1:13">
      <c r="A339" s="97" t="s">
        <v>5190</v>
      </c>
      <c r="B339" s="111">
        <v>-3600</v>
      </c>
      <c r="C339" s="97">
        <v>1</v>
      </c>
      <c r="D339" s="97">
        <f t="shared" si="22"/>
        <v>242</v>
      </c>
      <c r="E339" s="97">
        <f t="shared" si="23"/>
        <v>0</v>
      </c>
      <c r="F339" s="97">
        <f t="shared" si="24"/>
        <v>-871200</v>
      </c>
      <c r="G339" s="97"/>
    </row>
    <row r="340" spans="1:13">
      <c r="A340" s="97" t="s">
        <v>5194</v>
      </c>
      <c r="B340" s="111">
        <v>-170094</v>
      </c>
      <c r="C340" s="97">
        <v>1</v>
      </c>
      <c r="D340" s="97">
        <f t="shared" si="22"/>
        <v>241</v>
      </c>
      <c r="E340" s="97">
        <f t="shared" si="23"/>
        <v>0</v>
      </c>
      <c r="F340" s="97">
        <f t="shared" si="24"/>
        <v>-40992654</v>
      </c>
      <c r="G340" s="97"/>
      <c r="J340" t="s">
        <v>25</v>
      </c>
    </row>
    <row r="341" spans="1:13">
      <c r="A341" s="97" t="s">
        <v>5191</v>
      </c>
      <c r="B341" s="111">
        <v>-51730</v>
      </c>
      <c r="C341" s="97">
        <v>1</v>
      </c>
      <c r="D341" s="97">
        <f t="shared" si="22"/>
        <v>240</v>
      </c>
      <c r="E341" s="97">
        <f t="shared" si="23"/>
        <v>0</v>
      </c>
      <c r="F341" s="97">
        <f t="shared" si="24"/>
        <v>-12415200</v>
      </c>
      <c r="G341" s="97"/>
    </row>
    <row r="342" spans="1:13">
      <c r="A342" s="97" t="s">
        <v>5195</v>
      </c>
      <c r="B342" s="111">
        <v>-200000</v>
      </c>
      <c r="C342" s="97">
        <v>2</v>
      </c>
      <c r="D342" s="97">
        <f t="shared" si="22"/>
        <v>239</v>
      </c>
      <c r="E342" s="97">
        <f t="shared" si="23"/>
        <v>0</v>
      </c>
      <c r="F342" s="97">
        <f t="shared" si="24"/>
        <v>-47800000</v>
      </c>
      <c r="G342" s="97"/>
    </row>
    <row r="343" spans="1:13">
      <c r="A343" s="97" t="s">
        <v>5159</v>
      </c>
      <c r="B343" s="111">
        <v>-3000000</v>
      </c>
      <c r="C343" s="97">
        <v>0</v>
      </c>
      <c r="D343" s="97">
        <f t="shared" si="22"/>
        <v>237</v>
      </c>
      <c r="E343" s="97">
        <f t="shared" si="23"/>
        <v>0</v>
      </c>
      <c r="F343" s="97">
        <f t="shared" si="24"/>
        <v>-711000000</v>
      </c>
      <c r="G343" s="97"/>
    </row>
    <row r="344" spans="1:13">
      <c r="A344" s="97" t="s">
        <v>5159</v>
      </c>
      <c r="B344" s="111">
        <v>-39726</v>
      </c>
      <c r="C344" s="97">
        <v>1</v>
      </c>
      <c r="D344" s="97">
        <f t="shared" si="22"/>
        <v>237</v>
      </c>
      <c r="E344" s="97">
        <f t="shared" si="23"/>
        <v>0</v>
      </c>
      <c r="F344" s="97">
        <f t="shared" si="24"/>
        <v>-9415062</v>
      </c>
      <c r="G344" s="97"/>
      <c r="M344" t="s">
        <v>25</v>
      </c>
    </row>
    <row r="345" spans="1:13">
      <c r="A345" s="97" t="s">
        <v>5197</v>
      </c>
      <c r="B345" s="111">
        <v>-566500</v>
      </c>
      <c r="C345" s="97">
        <v>1</v>
      </c>
      <c r="D345" s="97">
        <f t="shared" si="22"/>
        <v>236</v>
      </c>
      <c r="E345" s="97">
        <f t="shared" si="23"/>
        <v>0</v>
      </c>
      <c r="F345" s="97">
        <f t="shared" si="24"/>
        <v>-133694000</v>
      </c>
      <c r="G345" s="97"/>
      <c r="K345" t="s">
        <v>25</v>
      </c>
    </row>
    <row r="346" spans="1:13">
      <c r="A346" s="97" t="s">
        <v>5198</v>
      </c>
      <c r="B346" s="111">
        <v>-300000</v>
      </c>
      <c r="C346" s="97">
        <v>22</v>
      </c>
      <c r="D346" s="97">
        <f t="shared" si="22"/>
        <v>235</v>
      </c>
      <c r="E346" s="97">
        <f t="shared" si="23"/>
        <v>1</v>
      </c>
      <c r="F346" s="97">
        <f t="shared" si="24"/>
        <v>-70200000</v>
      </c>
      <c r="G346" s="97"/>
      <c r="J346" t="s">
        <v>25</v>
      </c>
    </row>
    <row r="347" spans="1:13">
      <c r="A347" s="97" t="s">
        <v>5219</v>
      </c>
      <c r="B347" s="111">
        <v>700000</v>
      </c>
      <c r="C347" s="97">
        <v>1</v>
      </c>
      <c r="D347" s="97">
        <f t="shared" si="22"/>
        <v>213</v>
      </c>
      <c r="E347" s="97">
        <f t="shared" si="23"/>
        <v>0</v>
      </c>
      <c r="F347" s="97">
        <f t="shared" si="24"/>
        <v>149100000</v>
      </c>
      <c r="G347" s="97"/>
    </row>
    <row r="348" spans="1:13">
      <c r="A348" s="97" t="s">
        <v>5222</v>
      </c>
      <c r="B348" s="111">
        <v>-101000</v>
      </c>
      <c r="C348" s="97">
        <v>1</v>
      </c>
      <c r="D348" s="97">
        <f t="shared" si="22"/>
        <v>212</v>
      </c>
      <c r="E348" s="97">
        <f t="shared" si="23"/>
        <v>0</v>
      </c>
      <c r="F348" s="97">
        <f t="shared" si="24"/>
        <v>-21412000</v>
      </c>
      <c r="G348" s="97"/>
    </row>
    <row r="349" spans="1:13">
      <c r="A349" s="97" t="s">
        <v>5222</v>
      </c>
      <c r="B349" s="111">
        <v>-57245</v>
      </c>
      <c r="C349" s="97">
        <v>1</v>
      </c>
      <c r="D349" s="97">
        <f t="shared" si="22"/>
        <v>211</v>
      </c>
      <c r="E349" s="97">
        <f t="shared" si="23"/>
        <v>0</v>
      </c>
      <c r="F349" s="97">
        <f t="shared" si="24"/>
        <v>-12078695</v>
      </c>
      <c r="G349" s="97"/>
    </row>
    <row r="350" spans="1:13">
      <c r="A350" s="97" t="s">
        <v>5224</v>
      </c>
      <c r="B350" s="111">
        <v>-398700</v>
      </c>
      <c r="C350" s="97">
        <v>2</v>
      </c>
      <c r="D350" s="97">
        <f t="shared" si="22"/>
        <v>210</v>
      </c>
      <c r="E350" s="97">
        <f t="shared" si="23"/>
        <v>0</v>
      </c>
      <c r="F350" s="97">
        <f t="shared" si="24"/>
        <v>-83727000</v>
      </c>
      <c r="G350" s="97"/>
    </row>
    <row r="351" spans="1:13">
      <c r="A351" s="97" t="s">
        <v>5223</v>
      </c>
      <c r="B351" s="111">
        <v>-87010</v>
      </c>
      <c r="C351" s="97">
        <v>5</v>
      </c>
      <c r="D351" s="97">
        <f t="shared" si="22"/>
        <v>208</v>
      </c>
      <c r="E351" s="97">
        <f t="shared" si="23"/>
        <v>0</v>
      </c>
      <c r="F351" s="97">
        <f t="shared" si="24"/>
        <v>-18098080</v>
      </c>
      <c r="G351" s="97"/>
    </row>
    <row r="352" spans="1:13">
      <c r="A352" s="97" t="s">
        <v>5253</v>
      </c>
      <c r="B352" s="111">
        <v>-50000</v>
      </c>
      <c r="C352" s="97">
        <v>28</v>
      </c>
      <c r="D352" s="97">
        <f t="shared" si="22"/>
        <v>203</v>
      </c>
      <c r="E352" s="97">
        <f t="shared" si="23"/>
        <v>1</v>
      </c>
      <c r="F352" s="97">
        <f t="shared" si="24"/>
        <v>-10100000</v>
      </c>
      <c r="G352" s="97"/>
    </row>
    <row r="353" spans="1:12">
      <c r="A353" s="97" t="s">
        <v>5252</v>
      </c>
      <c r="B353" s="111">
        <v>1200000</v>
      </c>
      <c r="C353" s="97">
        <v>0</v>
      </c>
      <c r="D353" s="97">
        <f t="shared" ref="D353:D365" si="25">D354+C353</f>
        <v>175</v>
      </c>
      <c r="E353" s="97">
        <f t="shared" ref="E353:E365" si="26">IF(B354&gt;0,1,0)</f>
        <v>0</v>
      </c>
      <c r="F353" s="97">
        <f t="shared" ref="F353:F365" si="27">B353*(D353-E353)</f>
        <v>210000000</v>
      </c>
      <c r="G353" s="97"/>
    </row>
    <row r="354" spans="1:12">
      <c r="A354" s="97" t="s">
        <v>5252</v>
      </c>
      <c r="B354" s="111">
        <v>-367300</v>
      </c>
      <c r="C354" s="97">
        <v>1</v>
      </c>
      <c r="D354" s="97">
        <f t="shared" si="25"/>
        <v>175</v>
      </c>
      <c r="E354" s="97">
        <f t="shared" si="26"/>
        <v>0</v>
      </c>
      <c r="F354" s="97">
        <f t="shared" si="27"/>
        <v>-64277500</v>
      </c>
      <c r="G354" s="97"/>
    </row>
    <row r="355" spans="1:12">
      <c r="A355" s="97" t="s">
        <v>5254</v>
      </c>
      <c r="B355" s="111">
        <v>-104894</v>
      </c>
      <c r="C355" s="97">
        <v>1</v>
      </c>
      <c r="D355" s="97">
        <f t="shared" si="25"/>
        <v>174</v>
      </c>
      <c r="E355" s="97">
        <f t="shared" si="26"/>
        <v>0</v>
      </c>
      <c r="F355" s="97">
        <f t="shared" si="27"/>
        <v>-18251556</v>
      </c>
      <c r="G355" s="97"/>
    </row>
    <row r="356" spans="1:12">
      <c r="A356" s="97" t="s">
        <v>5255</v>
      </c>
      <c r="B356" s="111">
        <v>-688700</v>
      </c>
      <c r="C356" s="97">
        <v>0</v>
      </c>
      <c r="D356" s="97">
        <f t="shared" si="25"/>
        <v>173</v>
      </c>
      <c r="E356" s="97">
        <f t="shared" si="26"/>
        <v>0</v>
      </c>
      <c r="F356" s="97">
        <f t="shared" si="27"/>
        <v>-119145100</v>
      </c>
      <c r="G356" s="97"/>
    </row>
    <row r="357" spans="1:12">
      <c r="A357" s="97" t="s">
        <v>5255</v>
      </c>
      <c r="B357" s="111">
        <v>-8321</v>
      </c>
      <c r="C357" s="97">
        <v>5</v>
      </c>
      <c r="D357" s="97">
        <f t="shared" si="25"/>
        <v>173</v>
      </c>
      <c r="E357" s="97">
        <f t="shared" si="26"/>
        <v>1</v>
      </c>
      <c r="F357" s="97">
        <f t="shared" si="27"/>
        <v>-1431212</v>
      </c>
      <c r="G357" s="97"/>
      <c r="J357" t="s">
        <v>25</v>
      </c>
    </row>
    <row r="358" spans="1:12">
      <c r="A358" s="97" t="s">
        <v>5265</v>
      </c>
      <c r="B358" s="111">
        <v>1000000</v>
      </c>
      <c r="C358" s="97">
        <v>0</v>
      </c>
      <c r="D358" s="97">
        <f t="shared" si="25"/>
        <v>168</v>
      </c>
      <c r="E358" s="97">
        <f t="shared" si="26"/>
        <v>0</v>
      </c>
      <c r="F358" s="97">
        <f t="shared" si="27"/>
        <v>168000000</v>
      </c>
      <c r="G358" s="97"/>
    </row>
    <row r="359" spans="1:12">
      <c r="A359" s="97" t="s">
        <v>5265</v>
      </c>
      <c r="B359" s="111">
        <v>-127644</v>
      </c>
      <c r="C359" s="97">
        <v>1</v>
      </c>
      <c r="D359" s="97">
        <f t="shared" si="25"/>
        <v>168</v>
      </c>
      <c r="E359" s="97">
        <f t="shared" si="26"/>
        <v>0</v>
      </c>
      <c r="F359" s="97">
        <f t="shared" si="27"/>
        <v>-21444192</v>
      </c>
      <c r="G359" s="97"/>
    </row>
    <row r="360" spans="1:12">
      <c r="A360" s="97" t="s">
        <v>5266</v>
      </c>
      <c r="B360" s="111">
        <v>-418000</v>
      </c>
      <c r="C360" s="97">
        <v>4</v>
      </c>
      <c r="D360" s="97">
        <f t="shared" si="25"/>
        <v>167</v>
      </c>
      <c r="E360" s="97">
        <f t="shared" si="26"/>
        <v>0</v>
      </c>
      <c r="F360" s="97">
        <f t="shared" si="27"/>
        <v>-69806000</v>
      </c>
      <c r="G360" s="97"/>
    </row>
    <row r="361" spans="1:12">
      <c r="A361" s="97" t="s">
        <v>5270</v>
      </c>
      <c r="B361" s="111">
        <v>-183136</v>
      </c>
      <c r="C361" s="97">
        <v>2</v>
      </c>
      <c r="D361" s="97">
        <f t="shared" si="25"/>
        <v>163</v>
      </c>
      <c r="E361" s="97">
        <f t="shared" si="26"/>
        <v>0</v>
      </c>
      <c r="F361" s="97">
        <f t="shared" si="27"/>
        <v>-29851168</v>
      </c>
      <c r="G361" s="97"/>
      <c r="L361" t="s">
        <v>25</v>
      </c>
    </row>
    <row r="362" spans="1:12">
      <c r="A362" s="97" t="s">
        <v>5299</v>
      </c>
      <c r="B362" s="111">
        <v>-18600</v>
      </c>
      <c r="C362" s="97">
        <v>2</v>
      </c>
      <c r="D362" s="97">
        <f t="shared" si="25"/>
        <v>161</v>
      </c>
      <c r="E362" s="97">
        <f t="shared" si="26"/>
        <v>0</v>
      </c>
      <c r="F362" s="97">
        <f t="shared" si="27"/>
        <v>-2994600</v>
      </c>
      <c r="G362" s="97"/>
    </row>
    <row r="363" spans="1:12">
      <c r="A363" s="97" t="s">
        <v>5281</v>
      </c>
      <c r="B363" s="111">
        <v>-90000</v>
      </c>
      <c r="C363" s="97">
        <v>1</v>
      </c>
      <c r="D363" s="97">
        <f t="shared" si="25"/>
        <v>159</v>
      </c>
      <c r="E363" s="97">
        <f t="shared" si="26"/>
        <v>0</v>
      </c>
      <c r="F363" s="97">
        <f t="shared" si="27"/>
        <v>-14310000</v>
      </c>
      <c r="G363" s="97"/>
    </row>
    <row r="364" spans="1:12">
      <c r="A364" s="97" t="s">
        <v>5282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5285</v>
      </c>
      <c r="B368" s="111">
        <v>3500000</v>
      </c>
      <c r="C368" s="97">
        <v>3</v>
      </c>
      <c r="D368" s="97">
        <f t="shared" si="28"/>
        <v>156</v>
      </c>
      <c r="E368" s="97">
        <f t="shared" si="29"/>
        <v>0</v>
      </c>
      <c r="F368" s="97">
        <f t="shared" si="30"/>
        <v>546000000</v>
      </c>
      <c r="G368" s="97"/>
    </row>
    <row r="369" spans="1:11">
      <c r="A369" s="97" t="s">
        <v>5288</v>
      </c>
      <c r="B369" s="111">
        <v>-93800</v>
      </c>
      <c r="C369" s="97">
        <v>1</v>
      </c>
      <c r="D369" s="97">
        <f t="shared" si="28"/>
        <v>153</v>
      </c>
      <c r="E369" s="97">
        <f t="shared" si="29"/>
        <v>0</v>
      </c>
      <c r="F369" s="97">
        <f t="shared" si="30"/>
        <v>-14351400</v>
      </c>
      <c r="G369" s="97"/>
    </row>
    <row r="370" spans="1:11">
      <c r="A370" s="97" t="s">
        <v>5290</v>
      </c>
      <c r="B370" s="111">
        <v>-815500</v>
      </c>
      <c r="C370" s="97">
        <v>1</v>
      </c>
      <c r="D370" s="97">
        <f t="shared" si="28"/>
        <v>152</v>
      </c>
      <c r="E370" s="97">
        <f t="shared" si="29"/>
        <v>0</v>
      </c>
      <c r="F370" s="97">
        <f t="shared" si="30"/>
        <v>-123956000</v>
      </c>
      <c r="G370" s="97"/>
    </row>
    <row r="371" spans="1:11">
      <c r="A371" s="97" t="s">
        <v>5293</v>
      </c>
      <c r="B371" s="111">
        <v>-2096840</v>
      </c>
      <c r="C371" s="97">
        <v>0</v>
      </c>
      <c r="D371" s="97">
        <f t="shared" si="28"/>
        <v>151</v>
      </c>
      <c r="E371" s="97">
        <f t="shared" si="29"/>
        <v>1</v>
      </c>
      <c r="F371" s="97">
        <f t="shared" si="30"/>
        <v>-314526000</v>
      </c>
      <c r="G371" s="97"/>
    </row>
    <row r="372" spans="1:11">
      <c r="A372" s="97" t="s">
        <v>5293</v>
      </c>
      <c r="B372" s="111">
        <v>533</v>
      </c>
      <c r="C372" s="97">
        <v>1</v>
      </c>
      <c r="D372" s="97">
        <f t="shared" si="28"/>
        <v>151</v>
      </c>
      <c r="E372" s="97">
        <f t="shared" si="29"/>
        <v>1</v>
      </c>
      <c r="F372" s="97">
        <f t="shared" si="30"/>
        <v>79950</v>
      </c>
      <c r="G372" s="97"/>
      <c r="J372" t="s">
        <v>25</v>
      </c>
    </row>
    <row r="373" spans="1:11">
      <c r="A373" s="97" t="s">
        <v>5296</v>
      </c>
      <c r="B373" s="111">
        <v>4100000</v>
      </c>
      <c r="C373" s="97">
        <v>1</v>
      </c>
      <c r="D373" s="97">
        <f t="shared" si="28"/>
        <v>150</v>
      </c>
      <c r="E373" s="97">
        <f t="shared" si="29"/>
        <v>0</v>
      </c>
      <c r="F373" s="97">
        <f t="shared" si="30"/>
        <v>615000000</v>
      </c>
      <c r="G373" s="97"/>
    </row>
    <row r="374" spans="1:11">
      <c r="A374" s="97" t="s">
        <v>5300</v>
      </c>
      <c r="B374" s="111">
        <v>-3642549</v>
      </c>
      <c r="C374" s="97">
        <v>3</v>
      </c>
      <c r="D374" s="97">
        <f t="shared" si="28"/>
        <v>149</v>
      </c>
      <c r="E374" s="97">
        <f t="shared" si="29"/>
        <v>0</v>
      </c>
      <c r="F374" s="97">
        <f t="shared" si="30"/>
        <v>-542739801</v>
      </c>
      <c r="G374" s="97"/>
    </row>
    <row r="375" spans="1:11">
      <c r="A375" s="97" t="s">
        <v>5311</v>
      </c>
      <c r="B375" s="111">
        <v>-317091</v>
      </c>
      <c r="C375" s="97">
        <v>1</v>
      </c>
      <c r="D375" s="97">
        <f t="shared" si="28"/>
        <v>146</v>
      </c>
      <c r="E375" s="97">
        <f t="shared" si="29"/>
        <v>0</v>
      </c>
      <c r="F375" s="97">
        <f t="shared" si="30"/>
        <v>-46295286</v>
      </c>
      <c r="G375" s="97"/>
    </row>
    <row r="376" spans="1:11">
      <c r="A376" s="97" t="s">
        <v>5303</v>
      </c>
      <c r="B376" s="111">
        <v>-1600000</v>
      </c>
      <c r="C376" s="97">
        <v>1</v>
      </c>
      <c r="D376" s="97">
        <f t="shared" si="28"/>
        <v>145</v>
      </c>
      <c r="E376" s="97">
        <f t="shared" si="29"/>
        <v>0</v>
      </c>
      <c r="F376" s="97">
        <f t="shared" si="30"/>
        <v>-232000000</v>
      </c>
      <c r="G376" s="97"/>
    </row>
    <row r="377" spans="1:11">
      <c r="A377" s="97" t="s">
        <v>5306</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5385</v>
      </c>
      <c r="B379" s="111">
        <v>10000000</v>
      </c>
      <c r="C379" s="97">
        <v>0</v>
      </c>
      <c r="D379" s="97">
        <f t="shared" si="31"/>
        <v>121</v>
      </c>
      <c r="E379" s="97">
        <f t="shared" si="32"/>
        <v>0</v>
      </c>
      <c r="F379" s="97">
        <f t="shared" si="33"/>
        <v>1210000000</v>
      </c>
      <c r="G379" s="97"/>
    </row>
    <row r="380" spans="1:11">
      <c r="A380" s="97" t="s">
        <v>5385</v>
      </c>
      <c r="B380" s="111">
        <v>-3000000</v>
      </c>
      <c r="C380" s="97">
        <v>0</v>
      </c>
      <c r="D380" s="97">
        <f t="shared" si="31"/>
        <v>121</v>
      </c>
      <c r="E380" s="97">
        <f t="shared" si="32"/>
        <v>0</v>
      </c>
      <c r="F380" s="97">
        <f t="shared" si="33"/>
        <v>-363000000</v>
      </c>
      <c r="G380" s="97"/>
    </row>
    <row r="381" spans="1:11">
      <c r="A381" s="97" t="s">
        <v>5385</v>
      </c>
      <c r="B381" s="111">
        <v>-3971300</v>
      </c>
      <c r="C381" s="97">
        <v>7</v>
      </c>
      <c r="D381" s="97">
        <f t="shared" si="31"/>
        <v>121</v>
      </c>
      <c r="E381" s="97">
        <f t="shared" si="32"/>
        <v>0</v>
      </c>
      <c r="F381" s="97">
        <f t="shared" si="33"/>
        <v>-480527300</v>
      </c>
      <c r="G381" s="97"/>
    </row>
    <row r="382" spans="1:11">
      <c r="A382" s="97" t="s">
        <v>5405</v>
      </c>
      <c r="B382" s="111">
        <v>-2472422</v>
      </c>
      <c r="C382" s="97">
        <v>2</v>
      </c>
      <c r="D382" s="97">
        <f t="shared" si="31"/>
        <v>114</v>
      </c>
      <c r="E382" s="97">
        <f t="shared" si="32"/>
        <v>0</v>
      </c>
      <c r="F382" s="97">
        <f t="shared" si="33"/>
        <v>-281856108</v>
      </c>
      <c r="G382" s="97"/>
    </row>
    <row r="383" spans="1:11">
      <c r="A383" s="97" t="s">
        <v>5430</v>
      </c>
      <c r="B383" s="111">
        <v>-345000</v>
      </c>
      <c r="C383" s="97">
        <v>1</v>
      </c>
      <c r="D383" s="97">
        <f t="shared" si="31"/>
        <v>112</v>
      </c>
      <c r="E383" s="97">
        <f t="shared" si="32"/>
        <v>0</v>
      </c>
      <c r="F383" s="97">
        <f t="shared" si="33"/>
        <v>-38640000</v>
      </c>
      <c r="G383" s="97"/>
    </row>
    <row r="384" spans="1:11">
      <c r="A384" s="97" t="s">
        <v>5431</v>
      </c>
      <c r="B384" s="111">
        <v>-200000</v>
      </c>
      <c r="C384" s="97">
        <v>10</v>
      </c>
      <c r="D384" s="97">
        <f t="shared" si="31"/>
        <v>111</v>
      </c>
      <c r="E384" s="97">
        <f t="shared" si="32"/>
        <v>1</v>
      </c>
      <c r="F384" s="97">
        <f t="shared" si="33"/>
        <v>-22000000</v>
      </c>
      <c r="G384" s="97"/>
    </row>
    <row r="385" spans="1:10">
      <c r="A385" s="97" t="s">
        <v>5426</v>
      </c>
      <c r="B385" s="111">
        <v>800000</v>
      </c>
      <c r="C385" s="97">
        <v>0</v>
      </c>
      <c r="D385" s="97">
        <f t="shared" si="31"/>
        <v>101</v>
      </c>
      <c r="E385" s="97">
        <f t="shared" si="32"/>
        <v>0</v>
      </c>
      <c r="F385" s="97">
        <f t="shared" si="33"/>
        <v>80800000</v>
      </c>
      <c r="G385" s="97"/>
    </row>
    <row r="386" spans="1:10">
      <c r="A386" s="97" t="s">
        <v>5426</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5432</v>
      </c>
      <c r="B389" s="111">
        <v>8000000</v>
      </c>
      <c r="C389" s="97">
        <v>1</v>
      </c>
      <c r="D389" s="97">
        <f t="shared" si="31"/>
        <v>99</v>
      </c>
      <c r="E389" s="97">
        <f t="shared" si="32"/>
        <v>0</v>
      </c>
      <c r="F389" s="97">
        <f t="shared" si="33"/>
        <v>792000000</v>
      </c>
      <c r="G389" s="97"/>
    </row>
    <row r="390" spans="1:10">
      <c r="A390" s="97" t="s">
        <v>5433</v>
      </c>
      <c r="B390" s="111">
        <v>-10000</v>
      </c>
      <c r="C390" s="97">
        <v>1</v>
      </c>
      <c r="D390" s="97">
        <f t="shared" si="31"/>
        <v>98</v>
      </c>
      <c r="E390" s="97">
        <f t="shared" si="32"/>
        <v>0</v>
      </c>
      <c r="F390" s="97">
        <f t="shared" si="33"/>
        <v>-980000</v>
      </c>
      <c r="G390" s="97"/>
    </row>
    <row r="391" spans="1:10">
      <c r="A391" s="97" t="s">
        <v>5434</v>
      </c>
      <c r="B391" s="111">
        <v>-88000</v>
      </c>
      <c r="C391" s="97">
        <v>1</v>
      </c>
      <c r="D391" s="97">
        <f t="shared" si="31"/>
        <v>97</v>
      </c>
      <c r="E391" s="97">
        <f t="shared" si="32"/>
        <v>0</v>
      </c>
      <c r="F391" s="97">
        <f t="shared" si="33"/>
        <v>-8536000</v>
      </c>
      <c r="G391" s="97"/>
    </row>
    <row r="392" spans="1:10">
      <c r="A392" s="97" t="s">
        <v>5435</v>
      </c>
      <c r="B392" s="111">
        <v>-297675</v>
      </c>
      <c r="C392" s="97">
        <v>3</v>
      </c>
      <c r="D392" s="97">
        <f t="shared" si="31"/>
        <v>96</v>
      </c>
      <c r="E392" s="97">
        <f t="shared" si="32"/>
        <v>0</v>
      </c>
      <c r="F392" s="97">
        <f t="shared" si="33"/>
        <v>-28576800</v>
      </c>
      <c r="G392" s="97"/>
    </row>
    <row r="393" spans="1:10">
      <c r="A393" s="97" t="s">
        <v>5427</v>
      </c>
      <c r="B393" s="111">
        <v>-10114121</v>
      </c>
      <c r="C393" s="97">
        <v>1</v>
      </c>
      <c r="D393" s="97">
        <f t="shared" si="31"/>
        <v>93</v>
      </c>
      <c r="E393" s="97">
        <f t="shared" si="32"/>
        <v>0</v>
      </c>
      <c r="F393" s="97">
        <f t="shared" si="33"/>
        <v>-940613253</v>
      </c>
      <c r="G393" s="97"/>
    </row>
    <row r="394" spans="1:10">
      <c r="A394" s="97" t="s">
        <v>5428</v>
      </c>
      <c r="B394" s="111">
        <v>-9000000</v>
      </c>
      <c r="C394" s="97">
        <v>1</v>
      </c>
      <c r="D394" s="97">
        <f t="shared" si="31"/>
        <v>92</v>
      </c>
      <c r="E394" s="97">
        <f t="shared" si="32"/>
        <v>0</v>
      </c>
      <c r="F394" s="97">
        <f t="shared" si="33"/>
        <v>-828000000</v>
      </c>
      <c r="G394" s="97"/>
      <c r="J394" s="112">
        <f>B422-743653+21500</f>
        <v>3919446</v>
      </c>
    </row>
    <row r="395" spans="1:10">
      <c r="A395" s="97" t="s">
        <v>5436</v>
      </c>
      <c r="B395" s="111">
        <v>-83930</v>
      </c>
      <c r="C395" s="97">
        <v>1</v>
      </c>
      <c r="D395" s="97">
        <f t="shared" si="31"/>
        <v>91</v>
      </c>
      <c r="E395" s="97">
        <f t="shared" si="32"/>
        <v>0</v>
      </c>
      <c r="F395" s="97">
        <f t="shared" si="33"/>
        <v>-7637630</v>
      </c>
      <c r="G395" s="97"/>
    </row>
    <row r="396" spans="1:10">
      <c r="A396" s="97" t="s">
        <v>5437</v>
      </c>
      <c r="B396" s="111">
        <v>-19520</v>
      </c>
      <c r="C396" s="97">
        <v>0</v>
      </c>
      <c r="D396" s="97">
        <f t="shared" si="31"/>
        <v>90</v>
      </c>
      <c r="E396" s="97">
        <f t="shared" si="32"/>
        <v>0</v>
      </c>
      <c r="F396" s="97">
        <f t="shared" si="33"/>
        <v>-1756800</v>
      </c>
      <c r="G396" s="97"/>
    </row>
    <row r="397" spans="1:10">
      <c r="A397" s="97" t="s">
        <v>5437</v>
      </c>
      <c r="B397" s="111">
        <v>-676034</v>
      </c>
      <c r="C397" s="97">
        <v>27</v>
      </c>
      <c r="D397" s="97">
        <f t="shared" si="31"/>
        <v>90</v>
      </c>
      <c r="E397" s="97">
        <f t="shared" si="32"/>
        <v>1</v>
      </c>
      <c r="F397" s="97">
        <f t="shared" si="33"/>
        <v>-60167026</v>
      </c>
      <c r="G397" s="97"/>
    </row>
    <row r="398" spans="1:10">
      <c r="A398" s="97" t="s">
        <v>5484</v>
      </c>
      <c r="B398" s="111">
        <v>2200000</v>
      </c>
      <c r="C398" s="97">
        <v>2</v>
      </c>
      <c r="D398" s="97">
        <f t="shared" si="31"/>
        <v>63</v>
      </c>
      <c r="E398" s="97">
        <f t="shared" si="32"/>
        <v>0</v>
      </c>
      <c r="F398" s="97">
        <f t="shared" si="33"/>
        <v>138600000</v>
      </c>
      <c r="G398" s="97"/>
    </row>
    <row r="399" spans="1:10">
      <c r="A399" s="97" t="s">
        <v>5490</v>
      </c>
      <c r="B399" s="111">
        <v>-2000000</v>
      </c>
      <c r="C399" s="97">
        <v>1</v>
      </c>
      <c r="D399" s="97">
        <f t="shared" si="31"/>
        <v>61</v>
      </c>
      <c r="E399" s="97">
        <f t="shared" si="32"/>
        <v>0</v>
      </c>
      <c r="F399" s="97">
        <f t="shared" si="33"/>
        <v>-122000000</v>
      </c>
      <c r="G399" s="97"/>
    </row>
    <row r="400" spans="1:10">
      <c r="A400" s="97" t="s">
        <v>5492</v>
      </c>
      <c r="B400" s="111">
        <v>-28400</v>
      </c>
      <c r="C400" s="97">
        <v>1</v>
      </c>
      <c r="D400" s="97">
        <f t="shared" si="31"/>
        <v>60</v>
      </c>
      <c r="E400" s="97">
        <f t="shared" si="32"/>
        <v>0</v>
      </c>
      <c r="F400" s="97">
        <f t="shared" si="33"/>
        <v>-1704000</v>
      </c>
      <c r="G400" s="97"/>
    </row>
    <row r="401" spans="1:15">
      <c r="A401" s="97" t="s">
        <v>5494</v>
      </c>
      <c r="B401" s="111">
        <v>-126475</v>
      </c>
      <c r="C401" s="97">
        <v>1</v>
      </c>
      <c r="D401" s="97">
        <f t="shared" si="31"/>
        <v>59</v>
      </c>
      <c r="E401" s="97">
        <f t="shared" si="32"/>
        <v>0</v>
      </c>
      <c r="F401" s="97">
        <f t="shared" si="33"/>
        <v>-7462025</v>
      </c>
      <c r="G401" s="97"/>
    </row>
    <row r="402" spans="1:15">
      <c r="A402" s="97" t="s">
        <v>5493</v>
      </c>
      <c r="B402" s="111">
        <v>-32807</v>
      </c>
      <c r="C402" s="97">
        <v>4</v>
      </c>
      <c r="D402" s="97">
        <f t="shared" si="31"/>
        <v>58</v>
      </c>
      <c r="E402" s="97">
        <f t="shared" si="32"/>
        <v>0</v>
      </c>
      <c r="F402" s="97">
        <f t="shared" si="33"/>
        <v>-1902806</v>
      </c>
      <c r="G402" s="97"/>
    </row>
    <row r="403" spans="1:15">
      <c r="A403" s="97" t="s">
        <v>5498</v>
      </c>
      <c r="B403" s="111">
        <v>-11700</v>
      </c>
      <c r="C403" s="97">
        <v>7</v>
      </c>
      <c r="D403" s="97">
        <f t="shared" si="31"/>
        <v>54</v>
      </c>
      <c r="E403" s="97">
        <f t="shared" si="32"/>
        <v>1</v>
      </c>
      <c r="F403" s="97">
        <f t="shared" si="33"/>
        <v>-620100</v>
      </c>
      <c r="G403" s="97"/>
    </row>
    <row r="404" spans="1:15">
      <c r="A404" s="97" t="s">
        <v>5510</v>
      </c>
      <c r="B404" s="111">
        <v>5032773</v>
      </c>
      <c r="C404" s="97">
        <v>0</v>
      </c>
      <c r="D404" s="97">
        <f t="shared" si="31"/>
        <v>47</v>
      </c>
      <c r="E404" s="97">
        <f t="shared" si="32"/>
        <v>0</v>
      </c>
      <c r="F404" s="97">
        <f t="shared" si="33"/>
        <v>236540331</v>
      </c>
      <c r="G404" s="97"/>
    </row>
    <row r="405" spans="1:15">
      <c r="A405" s="97" t="s">
        <v>5510</v>
      </c>
      <c r="B405" s="111">
        <v>-5000000</v>
      </c>
      <c r="C405" s="97">
        <v>13</v>
      </c>
      <c r="D405" s="97">
        <f t="shared" si="31"/>
        <v>47</v>
      </c>
      <c r="E405" s="97">
        <f t="shared" si="32"/>
        <v>1</v>
      </c>
      <c r="F405" s="97">
        <f t="shared" si="33"/>
        <v>-230000000</v>
      </c>
      <c r="G405" s="97"/>
    </row>
    <row r="406" spans="1:15">
      <c r="A406" s="97" t="s">
        <v>5548</v>
      </c>
      <c r="B406" s="111">
        <v>1200000</v>
      </c>
      <c r="C406" s="97">
        <v>1</v>
      </c>
      <c r="D406" s="97">
        <f t="shared" si="31"/>
        <v>34</v>
      </c>
      <c r="E406" s="97">
        <f t="shared" si="32"/>
        <v>0</v>
      </c>
      <c r="F406" s="97">
        <f t="shared" si="33"/>
        <v>40800000</v>
      </c>
      <c r="G406" s="97"/>
    </row>
    <row r="407" spans="1:15">
      <c r="A407" s="97" t="s">
        <v>5529</v>
      </c>
      <c r="B407" s="111">
        <v>-1200000</v>
      </c>
      <c r="C407" s="97">
        <v>0</v>
      </c>
      <c r="D407" s="97">
        <f t="shared" si="31"/>
        <v>33</v>
      </c>
      <c r="E407" s="97">
        <f t="shared" si="32"/>
        <v>0</v>
      </c>
      <c r="F407" s="97">
        <f t="shared" si="33"/>
        <v>-39600000</v>
      </c>
      <c r="G407" s="97"/>
      <c r="O407" t="s">
        <v>25</v>
      </c>
    </row>
    <row r="408" spans="1:15">
      <c r="A408" s="97" t="s">
        <v>5529</v>
      </c>
      <c r="B408" s="111">
        <v>-784</v>
      </c>
      <c r="C408" s="97">
        <v>1</v>
      </c>
      <c r="D408" s="97">
        <f t="shared" si="31"/>
        <v>33</v>
      </c>
      <c r="E408" s="97">
        <f t="shared" si="32"/>
        <v>0</v>
      </c>
      <c r="F408" s="97">
        <f t="shared" si="33"/>
        <v>-25872</v>
      </c>
      <c r="G408" s="97" t="s">
        <v>5549</v>
      </c>
    </row>
    <row r="409" spans="1:15">
      <c r="A409" s="97" t="s">
        <v>5598</v>
      </c>
      <c r="B409" s="111">
        <v>-37927</v>
      </c>
      <c r="C409" s="97">
        <v>30</v>
      </c>
      <c r="D409" s="97">
        <f t="shared" si="31"/>
        <v>32</v>
      </c>
      <c r="E409" s="97">
        <f t="shared" si="32"/>
        <v>1</v>
      </c>
      <c r="F409" s="97">
        <f t="shared" si="33"/>
        <v>-1175737</v>
      </c>
      <c r="G409" s="97"/>
    </row>
    <row r="410" spans="1:15">
      <c r="A410" s="97" t="s">
        <v>5600</v>
      </c>
      <c r="B410" s="111">
        <v>5000000</v>
      </c>
      <c r="C410" s="97">
        <v>0</v>
      </c>
      <c r="D410" s="97">
        <f t="shared" si="31"/>
        <v>2</v>
      </c>
      <c r="E410" s="97">
        <f t="shared" si="32"/>
        <v>0</v>
      </c>
      <c r="F410" s="97">
        <f t="shared" si="33"/>
        <v>10000000</v>
      </c>
      <c r="G410" s="97"/>
    </row>
    <row r="411" spans="1:15">
      <c r="A411" s="97" t="s">
        <v>5600</v>
      </c>
      <c r="B411" s="111">
        <v>-1620700</v>
      </c>
      <c r="C411" s="97">
        <v>1</v>
      </c>
      <c r="D411" s="97">
        <f t="shared" si="31"/>
        <v>2</v>
      </c>
      <c r="E411" s="97">
        <f t="shared" si="32"/>
        <v>1</v>
      </c>
      <c r="F411" s="97">
        <f t="shared" si="33"/>
        <v>-1620700</v>
      </c>
      <c r="G411" s="97"/>
    </row>
    <row r="412" spans="1:15">
      <c r="A412" s="97" t="s">
        <v>5602</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4676</v>
      </c>
      <c r="L15">
        <v>451474</v>
      </c>
      <c r="M15" s="238" t="s">
        <v>4824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5038</v>
      </c>
      <c r="L33" t="s">
        <v>5039</v>
      </c>
      <c r="M33" t="s">
        <v>5040</v>
      </c>
      <c r="N33" t="s">
        <v>5041</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5043</v>
      </c>
      <c r="M34" t="s">
        <v>5044</v>
      </c>
      <c r="N34" t="s">
        <v>5042</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4525</v>
      </c>
      <c r="B192" s="38">
        <v>100000</v>
      </c>
      <c r="C192" s="71" t="s">
        <v>3875</v>
      </c>
      <c r="D192" s="97">
        <v>87</v>
      </c>
      <c r="E192" s="97">
        <f t="shared" si="9"/>
        <v>88</v>
      </c>
      <c r="F192" s="97">
        <f t="shared" si="5"/>
        <v>1</v>
      </c>
      <c r="G192" s="97">
        <f t="shared" si="4"/>
        <v>8700000</v>
      </c>
    </row>
    <row r="193" spans="1:7">
      <c r="A193" s="11" t="s">
        <v>4780</v>
      </c>
      <c r="B193" s="38">
        <v>-25000</v>
      </c>
      <c r="C193" s="11" t="s">
        <v>4787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abSelected="1" topLeftCell="K27" zoomScale="85" zoomScaleNormal="85" workbookViewId="0">
      <selection activeCell="P49" sqref="P4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5031</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5958</v>
      </c>
      <c r="O20" s="97" t="s">
        <v>922</v>
      </c>
      <c r="P20" s="97" t="s">
        <v>3913</v>
      </c>
      <c r="Q20" s="167">
        <v>9268987</v>
      </c>
      <c r="R20" s="166" t="s">
        <v>4154</v>
      </c>
      <c r="S20" s="189">
        <f>S97</f>
        <v>669</v>
      </c>
      <c r="T20" s="166" t="s">
        <v>4285</v>
      </c>
      <c r="U20" s="166">
        <v>192.1</v>
      </c>
      <c r="V20" s="166">
        <f>U20*(1+$R$93+$Q$15*S20/36500)</f>
        <v>293.60669260273971</v>
      </c>
      <c r="W20" s="32">
        <f t="shared" ref="W20:W26" si="6">V20*(1+$W$19/100)</f>
        <v>299.4788264547945</v>
      </c>
      <c r="X20" s="32">
        <f t="shared" ref="X20:X26" si="7">V20*(1+$X$19/100)</f>
        <v>305.35096030684929</v>
      </c>
      <c r="Y20" s="113"/>
      <c r="Z20" s="113"/>
      <c r="AH20" s="97">
        <v>1</v>
      </c>
      <c r="AI20" s="111" t="s">
        <v>1092</v>
      </c>
      <c r="AJ20" s="111">
        <v>18000000</v>
      </c>
      <c r="AK20" s="97">
        <v>1</v>
      </c>
      <c r="AL20" s="97">
        <f>AL21+AK20</f>
        <v>681</v>
      </c>
      <c r="AM20" s="111">
        <f>AJ20*AL20</f>
        <v>12258000000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-N34</f>
        <v>6093718114.1692419</v>
      </c>
      <c r="M21" s="166" t="s">
        <v>4277</v>
      </c>
      <c r="N21" s="111">
        <f>O21*P21</f>
        <v>1488500000</v>
      </c>
      <c r="O21" s="97">
        <v>650000</v>
      </c>
      <c r="P21" s="183">
        <f>P52</f>
        <v>2290</v>
      </c>
      <c r="Q21" s="167">
        <v>1353959</v>
      </c>
      <c r="R21" s="166" t="s">
        <v>4393</v>
      </c>
      <c r="S21" s="196">
        <f>S20-59</f>
        <v>610</v>
      </c>
      <c r="T21" s="19" t="s">
        <v>4430</v>
      </c>
      <c r="U21" s="166">
        <v>192.2</v>
      </c>
      <c r="V21" s="166">
        <f>U21*(1+$R$93+$Q$15*S21/36500)</f>
        <v>285.06050849315068</v>
      </c>
      <c r="W21" s="32">
        <f t="shared" si="6"/>
        <v>290.76171866301371</v>
      </c>
      <c r="X21" s="32">
        <f t="shared" si="7"/>
        <v>296.46292883287674</v>
      </c>
      <c r="Y21" s="113"/>
      <c r="Z21" s="113"/>
      <c r="AH21" s="97">
        <v>2</v>
      </c>
      <c r="AI21" s="111" t="s">
        <v>1094</v>
      </c>
      <c r="AJ21" s="111">
        <v>2500000</v>
      </c>
      <c r="AK21" s="97">
        <v>1</v>
      </c>
      <c r="AL21" s="97">
        <f t="shared" ref="AL21:AL63" si="8">AL22+AK21</f>
        <v>680</v>
      </c>
      <c r="AM21" s="111">
        <f t="shared" ref="AM21:AM120" si="9">AJ21*AL21</f>
        <v>1700000000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5564</v>
      </c>
      <c r="N22" s="111">
        <f>O22*P22</f>
        <v>866913</v>
      </c>
      <c r="O22" s="97">
        <v>57</v>
      </c>
      <c r="P22" s="183">
        <f>P46</f>
        <v>15209</v>
      </c>
      <c r="Q22" s="167">
        <v>1614398</v>
      </c>
      <c r="R22" s="166" t="s">
        <v>4399</v>
      </c>
      <c r="S22" s="166">
        <f>S21-3</f>
        <v>607</v>
      </c>
      <c r="T22" s="19" t="s">
        <v>4462</v>
      </c>
      <c r="U22" s="166">
        <v>184.6</v>
      </c>
      <c r="V22" s="166">
        <f>U22*(1+$R$93+$Q$15*S22/36500)</f>
        <v>273.36377205479454</v>
      </c>
      <c r="W22" s="32">
        <f t="shared" si="6"/>
        <v>278.83104749589046</v>
      </c>
      <c r="X22" s="32">
        <f t="shared" si="7"/>
        <v>284.29832293698632</v>
      </c>
      <c r="Y22" s="113"/>
      <c r="Z22" s="113"/>
      <c r="AH22" s="97">
        <v>3</v>
      </c>
      <c r="AI22" s="111" t="s">
        <v>1103</v>
      </c>
      <c r="AJ22" s="111">
        <v>8000000</v>
      </c>
      <c r="AK22" s="97">
        <v>1</v>
      </c>
      <c r="AL22" s="97">
        <f t="shared" si="8"/>
        <v>679</v>
      </c>
      <c r="AM22" s="111">
        <f t="shared" si="9"/>
        <v>5432000000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4490</v>
      </c>
      <c r="N23" s="111">
        <f>O23*P23</f>
        <v>278553483</v>
      </c>
      <c r="O23" s="97">
        <v>54801</v>
      </c>
      <c r="P23" s="183">
        <f>P47</f>
        <v>5083</v>
      </c>
      <c r="Q23" s="167">
        <v>133576</v>
      </c>
      <c r="R23" s="166" t="s">
        <v>4469</v>
      </c>
      <c r="S23" s="195">
        <f>S22-22</f>
        <v>585</v>
      </c>
      <c r="T23" s="166" t="s">
        <v>4470</v>
      </c>
      <c r="U23" s="166">
        <v>166.2</v>
      </c>
      <c r="V23" s="166">
        <f>U23*(1+$R$93+$Q$15*S23/36500)</f>
        <v>243.31133589041099</v>
      </c>
      <c r="W23" s="32">
        <f t="shared" si="6"/>
        <v>248.1775626082192</v>
      </c>
      <c r="X23" s="32">
        <f t="shared" si="7"/>
        <v>253.04378932602742</v>
      </c>
      <c r="Y23" s="94"/>
      <c r="Z23" s="94"/>
      <c r="AH23" s="97">
        <v>4</v>
      </c>
      <c r="AI23" s="111" t="s">
        <v>4038</v>
      </c>
      <c r="AJ23" s="111">
        <v>-79552</v>
      </c>
      <c r="AK23" s="97">
        <v>1</v>
      </c>
      <c r="AL23" s="97">
        <f t="shared" si="8"/>
        <v>678</v>
      </c>
      <c r="AM23" s="111">
        <f t="shared" si="9"/>
        <v>-53936256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L66</f>
        <v>6404517022.9692421</v>
      </c>
      <c r="G24" s="93">
        <f t="shared" si="0"/>
        <v>-6124210677.5873032</v>
      </c>
      <c r="H24" s="11"/>
      <c r="I24" s="94"/>
      <c r="J24" s="94"/>
      <c r="K24" s="210"/>
      <c r="L24" s="115"/>
      <c r="M24" s="210" t="s">
        <v>4363</v>
      </c>
      <c r="N24" s="111">
        <f>O24*P24</f>
        <v>1367772406</v>
      </c>
      <c r="O24" s="97">
        <v>71110</v>
      </c>
      <c r="P24" s="183">
        <f>P49</f>
        <v>19234.599999999999</v>
      </c>
      <c r="Q24" s="167">
        <v>220803</v>
      </c>
      <c r="R24" s="166" t="s">
        <v>4209</v>
      </c>
      <c r="S24" s="195">
        <f>S23-1</f>
        <v>584</v>
      </c>
      <c r="T24" s="166" t="s">
        <v>4476</v>
      </c>
      <c r="U24" s="166">
        <v>166</v>
      </c>
      <c r="V24" s="166">
        <f>U24*(1+$R$93+$Q$15*S24/36500)</f>
        <v>242.8912</v>
      </c>
      <c r="W24" s="32">
        <f t="shared" si="6"/>
        <v>247.74902399999999</v>
      </c>
      <c r="X24" s="32">
        <f t="shared" si="7"/>
        <v>252.60684800000001</v>
      </c>
      <c r="Y24" s="94"/>
      <c r="Z24" s="94"/>
      <c r="AH24" s="97">
        <v>5</v>
      </c>
      <c r="AI24" s="111" t="s">
        <v>1115</v>
      </c>
      <c r="AJ24" s="111">
        <v>165500</v>
      </c>
      <c r="AK24" s="97">
        <v>12</v>
      </c>
      <c r="AL24" s="97">
        <f t="shared" si="8"/>
        <v>677</v>
      </c>
      <c r="AM24" s="111">
        <f t="shared" si="9"/>
        <v>112043500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210"/>
      <c r="L25" s="115"/>
      <c r="M25" s="210" t="s">
        <v>4359</v>
      </c>
      <c r="N25" s="111">
        <f>O25*P25</f>
        <v>767535220</v>
      </c>
      <c r="O25" s="97">
        <v>47935</v>
      </c>
      <c r="P25" s="183">
        <f>P48</f>
        <v>16012</v>
      </c>
      <c r="Q25" s="167">
        <v>1023940</v>
      </c>
      <c r="R25" s="166" t="s">
        <v>4477</v>
      </c>
      <c r="S25" s="195">
        <f>S24-2</f>
        <v>582</v>
      </c>
      <c r="T25" s="166" t="s">
        <v>4483</v>
      </c>
      <c r="U25" s="166">
        <v>160.19999999999999</v>
      </c>
      <c r="V25" s="166">
        <f>U25*(1+$R$93+$Q$15*S25/36500)</f>
        <v>234.15885369863017</v>
      </c>
      <c r="W25" s="32">
        <f t="shared" si="6"/>
        <v>238.84203077260278</v>
      </c>
      <c r="X25" s="32">
        <f t="shared" si="7"/>
        <v>243.52520784657537</v>
      </c>
      <c r="Y25" s="94"/>
      <c r="Z25" s="94" t="s">
        <v>25</v>
      </c>
      <c r="AH25" s="97">
        <v>6</v>
      </c>
      <c r="AI25" s="111" t="s">
        <v>1140</v>
      </c>
      <c r="AJ25" s="111">
        <v>-28830327</v>
      </c>
      <c r="AK25" s="97">
        <v>6</v>
      </c>
      <c r="AL25" s="97">
        <f t="shared" si="8"/>
        <v>665</v>
      </c>
      <c r="AM25" s="111">
        <f t="shared" si="9"/>
        <v>-19172167455</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166" t="s">
        <v>4428</v>
      </c>
      <c r="L26" s="115">
        <f>-'فروردین 98'!D157</f>
        <v>-13134586</v>
      </c>
      <c r="M26" s="166"/>
      <c r="N26" s="111"/>
      <c r="O26" s="67"/>
      <c r="P26" s="97"/>
      <c r="Q26" s="167">
        <v>168846</v>
      </c>
      <c r="R26" s="166" t="s">
        <v>3675</v>
      </c>
      <c r="S26" s="195">
        <f>S25-28</f>
        <v>554</v>
      </c>
      <c r="T26" s="166" t="s">
        <v>4561</v>
      </c>
      <c r="U26" s="166">
        <v>172.2</v>
      </c>
      <c r="V26" s="166">
        <f>U26*(1+$R$93+$Q$15*S26/36500)</f>
        <v>248.00008109589041</v>
      </c>
      <c r="W26" s="32">
        <f t="shared" si="6"/>
        <v>252.96008271780823</v>
      </c>
      <c r="X26" s="32">
        <f t="shared" si="7"/>
        <v>257.92008433972603</v>
      </c>
      <c r="Y26" s="94"/>
      <c r="Z26" s="94"/>
      <c r="AH26" s="97">
        <v>7</v>
      </c>
      <c r="AI26" s="111" t="s">
        <v>1165</v>
      </c>
      <c r="AJ26" s="111">
        <v>18500000</v>
      </c>
      <c r="AK26" s="97">
        <v>1</v>
      </c>
      <c r="AL26" s="97">
        <f t="shared" si="8"/>
        <v>659</v>
      </c>
      <c r="AM26" s="111">
        <f t="shared" si="9"/>
        <v>12191500000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166" t="s">
        <v>456</v>
      </c>
      <c r="L27" s="115">
        <v>250000</v>
      </c>
      <c r="M27" s="187" t="s">
        <v>4420</v>
      </c>
      <c r="N27" s="111">
        <v>20000</v>
      </c>
      <c r="O27" s="266"/>
      <c r="P27" s="97" t="s">
        <v>25</v>
      </c>
      <c r="Q27" s="167">
        <v>1563192</v>
      </c>
      <c r="R27" s="210" t="s">
        <v>4660</v>
      </c>
      <c r="S27" s="195">
        <f>S26-33</f>
        <v>521</v>
      </c>
      <c r="T27" s="210" t="s">
        <v>4661</v>
      </c>
      <c r="U27" s="210">
        <v>168.8</v>
      </c>
      <c r="V27" s="210">
        <f>U27*(1+$R$93+$Q$15*S27/36500)</f>
        <v>238.83026410958905</v>
      </c>
      <c r="W27" s="32">
        <f t="shared" ref="W27:W32" si="11">V27*(1+$W$19/100)</f>
        <v>243.60686939178083</v>
      </c>
      <c r="X27" s="32">
        <f t="shared" ref="X27:X32" si="12">V27*(1+$X$19/100)</f>
        <v>248.38347467397261</v>
      </c>
      <c r="Y27" s="94"/>
      <c r="Z27" s="94"/>
      <c r="AH27" s="97">
        <v>8</v>
      </c>
      <c r="AI27" s="111" t="s">
        <v>1174</v>
      </c>
      <c r="AJ27" s="111">
        <v>-18550000</v>
      </c>
      <c r="AK27" s="97">
        <v>1</v>
      </c>
      <c r="AL27" s="97">
        <f t="shared" si="8"/>
        <v>658</v>
      </c>
      <c r="AM27" s="111">
        <f t="shared" si="9"/>
        <v>-12205900000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4363</v>
      </c>
      <c r="N28" s="111">
        <f>O28*P28</f>
        <v>74284025.199999988</v>
      </c>
      <c r="O28" s="67">
        <v>3862</v>
      </c>
      <c r="P28" s="97">
        <f>P49</f>
        <v>19234.599999999999</v>
      </c>
      <c r="Q28" s="167">
        <v>1204691</v>
      </c>
      <c r="R28" s="210" t="s">
        <v>4877</v>
      </c>
      <c r="S28" s="195">
        <f>S27-76</f>
        <v>445</v>
      </c>
      <c r="T28" s="210" t="s">
        <v>4878</v>
      </c>
      <c r="U28" s="210">
        <v>218.5</v>
      </c>
      <c r="V28" s="210">
        <f>U28*(1+$R$93+$Q$15*S28/36500)</f>
        <v>296.41051506849317</v>
      </c>
      <c r="W28" s="32">
        <f t="shared" si="11"/>
        <v>302.33872536986303</v>
      </c>
      <c r="X28" s="32">
        <f t="shared" si="12"/>
        <v>308.26693567123289</v>
      </c>
      <c r="Y28" s="94"/>
      <c r="Z28" s="94"/>
      <c r="AH28" s="97">
        <v>9</v>
      </c>
      <c r="AI28" s="111" t="s">
        <v>1181</v>
      </c>
      <c r="AJ28" s="111">
        <v>-64961</v>
      </c>
      <c r="AK28" s="97">
        <v>5</v>
      </c>
      <c r="AL28" s="97">
        <f t="shared" si="8"/>
        <v>657</v>
      </c>
      <c r="AM28" s="111">
        <f t="shared" si="9"/>
        <v>-42679377</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210"/>
      <c r="L29" s="115"/>
      <c r="M29" s="187" t="s">
        <v>4359</v>
      </c>
      <c r="N29" s="111">
        <f>O29*P29</f>
        <v>10407800</v>
      </c>
      <c r="O29" s="67">
        <v>650</v>
      </c>
      <c r="P29" s="97">
        <f>P48</f>
        <v>16012</v>
      </c>
      <c r="Q29" s="167">
        <v>15011877</v>
      </c>
      <c r="R29" s="210" t="s">
        <v>4880</v>
      </c>
      <c r="S29" s="195">
        <f>S28-3</f>
        <v>442</v>
      </c>
      <c r="T29" s="210" t="s">
        <v>4884</v>
      </c>
      <c r="U29" s="210">
        <v>197.1</v>
      </c>
      <c r="V29" s="210">
        <f>U29*(1+$R$93+$Q$15*S29/36500)</f>
        <v>266.92631999999998</v>
      </c>
      <c r="W29" s="32">
        <f t="shared" si="11"/>
        <v>272.26484639999995</v>
      </c>
      <c r="X29" s="32">
        <f t="shared" si="12"/>
        <v>277.60337279999999</v>
      </c>
      <c r="Y29" s="94"/>
      <c r="Z29" s="94"/>
      <c r="AH29" s="97">
        <v>10</v>
      </c>
      <c r="AI29" s="111" t="s">
        <v>1197</v>
      </c>
      <c r="AJ29" s="111">
        <v>6400000</v>
      </c>
      <c r="AK29" s="97">
        <v>1</v>
      </c>
      <c r="AL29" s="97">
        <f t="shared" si="8"/>
        <v>652</v>
      </c>
      <c r="AM29" s="111">
        <f t="shared" si="9"/>
        <v>4172800000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210"/>
      <c r="L30" s="115"/>
      <c r="M30" s="187" t="s">
        <v>5564</v>
      </c>
      <c r="N30" s="111">
        <f>O30*P30</f>
        <v>866913</v>
      </c>
      <c r="O30" s="67">
        <v>57</v>
      </c>
      <c r="P30" s="97">
        <f>P46</f>
        <v>15209</v>
      </c>
      <c r="Q30" s="167">
        <v>12803120</v>
      </c>
      <c r="R30" s="210" t="s">
        <v>4892</v>
      </c>
      <c r="S30" s="195">
        <f>S29-5</f>
        <v>437</v>
      </c>
      <c r="T30" s="210" t="s">
        <v>4894</v>
      </c>
      <c r="U30" s="210">
        <v>194.4</v>
      </c>
      <c r="V30" s="210">
        <f>U30*(1+$R$93+$Q$15*S30/36500)</f>
        <v>262.5241512328767</v>
      </c>
      <c r="W30" s="32">
        <f t="shared" si="11"/>
        <v>267.77463425753422</v>
      </c>
      <c r="X30" s="32">
        <f t="shared" si="12"/>
        <v>273.02511728219179</v>
      </c>
      <c r="Y30" s="94"/>
      <c r="Z30" s="94"/>
      <c r="AH30" s="97">
        <v>11</v>
      </c>
      <c r="AI30" s="111" t="s">
        <v>4039</v>
      </c>
      <c r="AJ30" s="111">
        <v>-170000</v>
      </c>
      <c r="AK30" s="97">
        <v>5</v>
      </c>
      <c r="AL30" s="97">
        <f t="shared" si="8"/>
        <v>651</v>
      </c>
      <c r="AM30" s="111">
        <f t="shared" si="9"/>
        <v>-110670000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210"/>
      <c r="L31" s="115"/>
      <c r="M31" s="187" t="s">
        <v>4400</v>
      </c>
      <c r="N31" s="111">
        <f>O31*P31</f>
        <v>368154140</v>
      </c>
      <c r="O31" s="67">
        <v>160766</v>
      </c>
      <c r="P31" s="97">
        <f>P52</f>
        <v>2290</v>
      </c>
      <c r="Q31" s="167">
        <v>100562</v>
      </c>
      <c r="R31" s="210" t="s">
        <v>4900</v>
      </c>
      <c r="S31" s="195">
        <f>S30-6</f>
        <v>431</v>
      </c>
      <c r="T31" s="210" t="s">
        <v>4901</v>
      </c>
      <c r="U31" s="210">
        <v>190.3</v>
      </c>
      <c r="V31" s="210">
        <f>U31*(1+$R$93+$Q$15*S31/36500)</f>
        <v>256.11147506849318</v>
      </c>
      <c r="W31" s="32">
        <f t="shared" si="11"/>
        <v>261.23370456986305</v>
      </c>
      <c r="X31" s="32">
        <f t="shared" si="12"/>
        <v>266.35593407123292</v>
      </c>
      <c r="Y31" s="94"/>
      <c r="Z31" s="94"/>
      <c r="AH31" s="97">
        <v>12</v>
      </c>
      <c r="AI31" s="111" t="s">
        <v>1217</v>
      </c>
      <c r="AJ31" s="111">
        <v>-6300000</v>
      </c>
      <c r="AK31" s="97">
        <v>1</v>
      </c>
      <c r="AL31" s="97">
        <f>AL32+AK31</f>
        <v>646</v>
      </c>
      <c r="AM31" s="111">
        <f t="shared" si="9"/>
        <v>-4069800000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c r="N32" s="111"/>
      <c r="P32" t="s">
        <v>25</v>
      </c>
      <c r="Q32" s="167">
        <v>82508055.622459531</v>
      </c>
      <c r="R32" s="210" t="s">
        <v>4904</v>
      </c>
      <c r="S32" s="195">
        <f>S31-2</f>
        <v>429</v>
      </c>
      <c r="T32" s="210" t="s">
        <v>5728</v>
      </c>
      <c r="U32" s="210">
        <v>195.5</v>
      </c>
      <c r="V32" s="210">
        <f>U32*(1+$R$93+$Q$15*S32/36500)</f>
        <v>262.80984657534248</v>
      </c>
      <c r="W32" s="32">
        <f t="shared" si="11"/>
        <v>268.06604350684933</v>
      </c>
      <c r="X32" s="32">
        <f t="shared" si="12"/>
        <v>273.32224043835618</v>
      </c>
      <c r="Y32" s="94"/>
      <c r="Z32" s="94"/>
      <c r="AH32" s="97">
        <v>13</v>
      </c>
      <c r="AI32" s="111" t="s">
        <v>1226</v>
      </c>
      <c r="AJ32" s="111">
        <v>-52015</v>
      </c>
      <c r="AK32" s="97">
        <v>16</v>
      </c>
      <c r="AL32" s="97">
        <f t="shared" si="8"/>
        <v>645</v>
      </c>
      <c r="AM32" s="111">
        <f t="shared" si="9"/>
        <v>-33549675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25</v>
      </c>
      <c r="L33" s="115"/>
      <c r="M33" s="166" t="s">
        <v>749</v>
      </c>
      <c r="N33" s="111">
        <v>3000000</v>
      </c>
      <c r="P33" t="s">
        <v>25</v>
      </c>
      <c r="Q33" s="167">
        <v>1962799</v>
      </c>
      <c r="R33" s="210" t="s">
        <v>5188</v>
      </c>
      <c r="S33" s="195">
        <f>S32-159</f>
        <v>270</v>
      </c>
      <c r="T33" s="210" t="s">
        <v>5210</v>
      </c>
      <c r="U33" s="210">
        <v>6513.1</v>
      </c>
      <c r="V33" s="210">
        <f>U33*(1+$R$93+$Q$15*S33/36500)</f>
        <v>7961.1138049315077</v>
      </c>
      <c r="W33" s="32">
        <f>V33*(1+$W$19/100)</f>
        <v>8120.3360810301383</v>
      </c>
      <c r="X33" s="32">
        <f>V33*(1+$X$19/100)</f>
        <v>8279.558357128768</v>
      </c>
      <c r="Y33" s="94"/>
      <c r="Z33" s="94"/>
      <c r="AH33" s="97">
        <v>14</v>
      </c>
      <c r="AI33" s="111" t="s">
        <v>3692</v>
      </c>
      <c r="AJ33" s="111">
        <v>20017400</v>
      </c>
      <c r="AK33" s="97">
        <v>0</v>
      </c>
      <c r="AL33" s="97">
        <f t="shared" si="8"/>
        <v>629</v>
      </c>
      <c r="AM33" s="111">
        <f t="shared" si="9"/>
        <v>12590944600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904</v>
      </c>
      <c r="L34" s="115">
        <v>4800000</v>
      </c>
      <c r="M34" s="166" t="s">
        <v>4133</v>
      </c>
      <c r="N34" s="111">
        <f>-W147</f>
        <v>-6093718114.1692419</v>
      </c>
      <c r="Q34" s="167">
        <v>16396298</v>
      </c>
      <c r="R34" s="210" t="s">
        <v>5446</v>
      </c>
      <c r="S34" s="195">
        <f>S33-156</f>
        <v>114</v>
      </c>
      <c r="T34" s="210" t="s">
        <v>5447</v>
      </c>
      <c r="U34" s="210">
        <v>7121.4</v>
      </c>
      <c r="V34" s="210">
        <f>U34*(1+$R$93+$Q$15*S34/36500)</f>
        <v>7852.4263430136989</v>
      </c>
      <c r="W34" s="32">
        <f>V34*(1+$W$19/100)</f>
        <v>8009.4748698739731</v>
      </c>
      <c r="X34" s="32">
        <f>V34*(1+$X$19/100)</f>
        <v>8166.5233967342474</v>
      </c>
      <c r="Y34" s="94"/>
      <c r="Z34" s="94"/>
      <c r="AH34" s="97">
        <v>15</v>
      </c>
      <c r="AI34" s="111" t="s">
        <v>3692</v>
      </c>
      <c r="AJ34" s="111">
        <v>1014466</v>
      </c>
      <c r="AK34" s="97">
        <v>12</v>
      </c>
      <c r="AL34" s="97">
        <f t="shared" si="8"/>
        <v>629</v>
      </c>
      <c r="AM34" s="111">
        <f t="shared" si="9"/>
        <v>638099114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c r="L35" s="115"/>
      <c r="M35" s="166" t="s">
        <v>746</v>
      </c>
      <c r="N35" s="111">
        <v>500000</v>
      </c>
      <c r="P35" t="s">
        <v>25</v>
      </c>
      <c r="Q35" s="167">
        <v>23593427</v>
      </c>
      <c r="R35" s="210" t="s">
        <v>5453</v>
      </c>
      <c r="S35" s="195">
        <f>S34-8</f>
        <v>106</v>
      </c>
      <c r="T35" s="210" t="s">
        <v>5455</v>
      </c>
      <c r="U35" s="210">
        <v>7581.3</v>
      </c>
      <c r="V35" s="210">
        <f>U35*(1+$R$93+$Q$15*S35/36500)</f>
        <v>8313.0096887671243</v>
      </c>
      <c r="W35" s="32">
        <f>V35*(1+$W$19/100)</f>
        <v>8479.2698825424668</v>
      </c>
      <c r="X35" s="32">
        <f>V35*(1+$X$19/100)</f>
        <v>8645.5300763178093</v>
      </c>
      <c r="Y35" s="94" t="s">
        <v>25</v>
      </c>
      <c r="Z35" s="94" t="s">
        <v>25</v>
      </c>
      <c r="AH35" s="97">
        <v>16</v>
      </c>
      <c r="AI35" s="111" t="s">
        <v>1128</v>
      </c>
      <c r="AJ35" s="111">
        <v>360000</v>
      </c>
      <c r="AK35" s="97">
        <v>2</v>
      </c>
      <c r="AL35" s="97">
        <f t="shared" si="8"/>
        <v>617</v>
      </c>
      <c r="AM35" s="111">
        <f t="shared" si="9"/>
        <v>222120000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t="s">
        <v>1070</v>
      </c>
      <c r="L36" s="115">
        <f>'خرید و فروش سکه فیزیکی'!M48*10*P54</f>
        <v>0</v>
      </c>
      <c r="M36" s="166" t="s">
        <v>753</v>
      </c>
      <c r="N36" s="111">
        <v>1200000</v>
      </c>
      <c r="O36" t="s">
        <v>25</v>
      </c>
      <c r="P36" t="s">
        <v>25</v>
      </c>
      <c r="Q36" s="167">
        <v>2990679</v>
      </c>
      <c r="R36" s="210" t="s">
        <v>5456</v>
      </c>
      <c r="S36" s="195">
        <f>S35-1</f>
        <v>105</v>
      </c>
      <c r="T36" s="210" t="s">
        <v>5457</v>
      </c>
      <c r="U36" s="210">
        <v>7614.2</v>
      </c>
      <c r="V36" s="210">
        <f>U36*(1+$R$93+$Q$15*S36/36500)</f>
        <v>8343.2440043835613</v>
      </c>
      <c r="W36" s="32">
        <f>V36*(1+$W$19/100)</f>
        <v>8510.1088844712322</v>
      </c>
      <c r="X36" s="32">
        <f>V36*(1+$X$19/100)</f>
        <v>8676.9737645589048</v>
      </c>
      <c r="Y36" s="94" t="s">
        <v>25</v>
      </c>
      <c r="Z36" s="94"/>
      <c r="AH36" s="97">
        <v>17</v>
      </c>
      <c r="AI36" s="111" t="s">
        <v>3752</v>
      </c>
      <c r="AJ36" s="111">
        <v>-350000</v>
      </c>
      <c r="AK36" s="97">
        <v>0</v>
      </c>
      <c r="AL36" s="97">
        <f t="shared" si="8"/>
        <v>615</v>
      </c>
      <c r="AM36" s="111">
        <f t="shared" si="9"/>
        <v>-215250000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K37" s="166" t="s">
        <v>4945</v>
      </c>
      <c r="L37" s="115">
        <v>-47500000</v>
      </c>
      <c r="M37" s="71"/>
      <c r="N37" s="111"/>
      <c r="P37" t="s">
        <v>25</v>
      </c>
      <c r="Q37" s="167">
        <v>554224</v>
      </c>
      <c r="R37" s="210" t="s">
        <v>5460</v>
      </c>
      <c r="S37" s="195">
        <f>S36-4</f>
        <v>101</v>
      </c>
      <c r="T37" s="210" t="s">
        <v>5461</v>
      </c>
      <c r="U37" s="210">
        <v>8488</v>
      </c>
      <c r="V37" s="210">
        <f>U37*(1+$R$93+$Q$15*S37/36500)</f>
        <v>9274.6631890410972</v>
      </c>
      <c r="W37" s="32">
        <f>V37*(1+$W$19/100)</f>
        <v>9460.1564528219187</v>
      </c>
      <c r="X37" s="32">
        <f>V37*(1+$X$19/100)</f>
        <v>9645.649716602742</v>
      </c>
      <c r="Y37" s="94" t="s">
        <v>25</v>
      </c>
      <c r="Z37" s="94" t="s">
        <v>25</v>
      </c>
      <c r="AH37" s="97">
        <v>18</v>
      </c>
      <c r="AI37" s="111" t="s">
        <v>3752</v>
      </c>
      <c r="AJ37" s="111">
        <v>1000</v>
      </c>
      <c r="AK37" s="97">
        <v>1</v>
      </c>
      <c r="AL37" s="97">
        <f t="shared" si="8"/>
        <v>615</v>
      </c>
      <c r="AM37" s="111">
        <f t="shared" si="9"/>
        <v>615000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166"/>
      <c r="L38" s="115"/>
      <c r="M38" s="166"/>
      <c r="N38" s="111"/>
      <c r="Q38" s="167">
        <v>1687767</v>
      </c>
      <c r="R38" s="210" t="s">
        <v>5463</v>
      </c>
      <c r="S38" s="195">
        <f>S37-2</f>
        <v>99</v>
      </c>
      <c r="T38" s="210" t="s">
        <v>5465</v>
      </c>
      <c r="U38" s="210">
        <v>8317.5</v>
      </c>
      <c r="V38" s="210">
        <f>U38*(1+$R$93+$Q$15*S38/36500)</f>
        <v>9075.6002465753427</v>
      </c>
      <c r="W38" s="32">
        <f t="shared" ref="W38:W44" si="13">V38*(1+$W$19/100)</f>
        <v>9257.1122515068491</v>
      </c>
      <c r="X38" s="32">
        <f t="shared" ref="X38:X44" si="14">V38*(1+$X$19/100)</f>
        <v>9438.6242564383574</v>
      </c>
      <c r="Y38" s="94" t="s">
        <v>25</v>
      </c>
      <c r="Z38" s="94" t="s">
        <v>25</v>
      </c>
      <c r="AH38" s="97">
        <v>19</v>
      </c>
      <c r="AI38" s="111" t="s">
        <v>3756</v>
      </c>
      <c r="AJ38" s="111">
        <v>33610000</v>
      </c>
      <c r="AK38" s="97">
        <v>4</v>
      </c>
      <c r="AL38" s="97">
        <f t="shared" si="8"/>
        <v>614</v>
      </c>
      <c r="AM38" s="111">
        <f t="shared" si="9"/>
        <v>20636540000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166"/>
      <c r="L39" s="115"/>
      <c r="M39" s="166" t="s">
        <v>5395</v>
      </c>
      <c r="N39" s="111">
        <v>-14000000</v>
      </c>
      <c r="O39" t="s">
        <v>25</v>
      </c>
      <c r="Q39" s="167">
        <v>29256748</v>
      </c>
      <c r="R39" s="210" t="s">
        <v>5466</v>
      </c>
      <c r="S39" s="195">
        <f>S38-1</f>
        <v>98</v>
      </c>
      <c r="T39" s="210" t="s">
        <v>5470</v>
      </c>
      <c r="U39" s="210">
        <v>8338</v>
      </c>
      <c r="V39" s="210">
        <f>U39*(1+$R$93+$Q$15*S39/36500)</f>
        <v>9091.5724493150701</v>
      </c>
      <c r="W39" s="32">
        <f t="shared" si="13"/>
        <v>9273.4038983013725</v>
      </c>
      <c r="X39" s="32">
        <f t="shared" si="14"/>
        <v>9455.235347287673</v>
      </c>
      <c r="Y39" s="94"/>
      <c r="Z39" s="94" t="s">
        <v>25</v>
      </c>
      <c r="AA39" s="94"/>
      <c r="AB39" s="94"/>
      <c r="AC39" s="94"/>
      <c r="AD39" s="94"/>
      <c r="AH39" s="97">
        <v>20</v>
      </c>
      <c r="AI39" s="111" t="s">
        <v>4040</v>
      </c>
      <c r="AJ39" s="111">
        <v>-15600000</v>
      </c>
      <c r="AK39" s="97">
        <v>3</v>
      </c>
      <c r="AL39" s="97">
        <f t="shared" si="8"/>
        <v>610</v>
      </c>
      <c r="AM39" s="111">
        <f t="shared" si="9"/>
        <v>-9516000000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166"/>
      <c r="L40" s="115"/>
      <c r="M40" s="166" t="s">
        <v>4944</v>
      </c>
      <c r="N40" s="111">
        <v>-47000000</v>
      </c>
      <c r="O40" s="293"/>
      <c r="P40" s="94" t="s">
        <v>25</v>
      </c>
      <c r="Q40" s="167">
        <v>49280339</v>
      </c>
      <c r="R40" s="210" t="s">
        <v>5474</v>
      </c>
      <c r="S40" s="195">
        <f>S39-3</f>
        <v>95</v>
      </c>
      <c r="T40" s="210" t="s">
        <v>5476</v>
      </c>
      <c r="U40" s="210">
        <v>8740</v>
      </c>
      <c r="V40" s="210">
        <f>U40*(1+$R$93+$Q$15*S40/36500)</f>
        <v>9509.7904657534255</v>
      </c>
      <c r="W40" s="32">
        <f t="shared" si="13"/>
        <v>9699.9862750684933</v>
      </c>
      <c r="X40" s="32">
        <f t="shared" si="14"/>
        <v>9890.1820843835631</v>
      </c>
      <c r="Y40" s="94" t="s">
        <v>25</v>
      </c>
      <c r="Z40" s="94" t="s">
        <v>25</v>
      </c>
      <c r="AA40" s="94"/>
      <c r="AB40" s="94"/>
      <c r="AC40" s="94"/>
      <c r="AD40" s="94"/>
      <c r="AH40" s="97">
        <v>21</v>
      </c>
      <c r="AI40" s="111" t="s">
        <v>3770</v>
      </c>
      <c r="AJ40" s="111">
        <v>7500000</v>
      </c>
      <c r="AK40" s="97">
        <v>4</v>
      </c>
      <c r="AL40" s="97">
        <f t="shared" si="8"/>
        <v>607</v>
      </c>
      <c r="AM40" s="111">
        <f t="shared" si="9"/>
        <v>4552500000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97"/>
      <c r="L41" s="115"/>
      <c r="M41" s="166"/>
      <c r="N41" s="111"/>
      <c r="O41" s="112"/>
      <c r="P41" s="94"/>
      <c r="Q41" s="167">
        <v>3602822</v>
      </c>
      <c r="R41" s="210" t="s">
        <v>5478</v>
      </c>
      <c r="S41" s="195">
        <f>S40-1</f>
        <v>94</v>
      </c>
      <c r="T41" s="210" t="s">
        <v>5479</v>
      </c>
      <c r="U41" s="210">
        <v>8966.4</v>
      </c>
      <c r="V41" s="210">
        <f>U41*(1+$R$93+$Q$15*S41/36500)</f>
        <v>9749.2526991780833</v>
      </c>
      <c r="W41" s="32">
        <f t="shared" si="13"/>
        <v>9944.2377531616457</v>
      </c>
      <c r="X41" s="32">
        <f t="shared" si="14"/>
        <v>10139.222807145206</v>
      </c>
      <c r="Y41" s="94"/>
      <c r="Z41" s="94"/>
      <c r="AA41" s="94"/>
      <c r="AB41" s="94"/>
      <c r="AC41" s="94"/>
      <c r="AD41" s="94"/>
      <c r="AH41" s="97">
        <v>22</v>
      </c>
      <c r="AI41" s="111" t="s">
        <v>4041</v>
      </c>
      <c r="AJ41" s="111">
        <v>-98000</v>
      </c>
      <c r="AK41" s="97">
        <v>1</v>
      </c>
      <c r="AL41" s="97">
        <f t="shared" si="8"/>
        <v>603</v>
      </c>
      <c r="AM41" s="111">
        <f t="shared" si="9"/>
        <v>-59094000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K42" s="97"/>
      <c r="L42" s="115"/>
      <c r="M42" s="166" t="s">
        <v>4419</v>
      </c>
      <c r="N42" s="111">
        <v>12981</v>
      </c>
      <c r="O42" s="112"/>
      <c r="P42" t="s">
        <v>25</v>
      </c>
      <c r="Q42" s="167">
        <v>7413007</v>
      </c>
      <c r="R42" s="210" t="s">
        <v>5490</v>
      </c>
      <c r="S42" s="195">
        <f>S41-6</f>
        <v>88</v>
      </c>
      <c r="T42" s="210" t="s">
        <v>5491</v>
      </c>
      <c r="U42" s="210">
        <v>9110.5</v>
      </c>
      <c r="V42" s="210">
        <f>U42*(1+$R$93+$Q$15*S42/36500)</f>
        <v>9864.0007506849324</v>
      </c>
      <c r="W42" s="32">
        <f t="shared" si="13"/>
        <v>10061.280765698632</v>
      </c>
      <c r="X42" s="32">
        <f t="shared" si="14"/>
        <v>10258.560780712331</v>
      </c>
      <c r="Y42" s="113" t="s">
        <v>25</v>
      </c>
      <c r="Z42" s="113"/>
      <c r="AA42" s="113"/>
      <c r="AB42" s="113"/>
      <c r="AC42" s="113"/>
      <c r="AD42" s="113"/>
      <c r="AE42" s="113"/>
      <c r="AF42" s="113"/>
      <c r="AH42" s="97">
        <v>23</v>
      </c>
      <c r="AI42" s="111" t="s">
        <v>4035</v>
      </c>
      <c r="AJ42" s="111">
        <v>-26000000</v>
      </c>
      <c r="AK42" s="97">
        <v>0</v>
      </c>
      <c r="AL42" s="97">
        <f t="shared" si="8"/>
        <v>602</v>
      </c>
      <c r="AM42" s="111">
        <f t="shared" si="9"/>
        <v>-15652000000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112"/>
      <c r="K43" s="254" t="s">
        <v>5698</v>
      </c>
      <c r="L43" s="115">
        <v>-21000000</v>
      </c>
      <c r="M43" s="166"/>
      <c r="N43" s="111"/>
      <c r="O43" s="97"/>
      <c r="P43" s="97"/>
      <c r="Q43" s="167">
        <v>64446280</v>
      </c>
      <c r="R43" s="210" t="s">
        <v>5493</v>
      </c>
      <c r="S43" s="195">
        <f>S42-3</f>
        <v>85</v>
      </c>
      <c r="T43" s="210" t="s">
        <v>5496</v>
      </c>
      <c r="U43" s="210">
        <v>10302</v>
      </c>
      <c r="V43" s="210">
        <f>U43*(1+$R$93+$Q$15*S43/36500)</f>
        <v>11130.337249315069</v>
      </c>
      <c r="W43" s="32">
        <f t="shared" si="13"/>
        <v>11352.943994301371</v>
      </c>
      <c r="X43" s="32">
        <f t="shared" si="14"/>
        <v>11575.550739287672</v>
      </c>
      <c r="Y43" s="113"/>
      <c r="Z43" s="113"/>
      <c r="AA43" s="113" t="s">
        <v>25</v>
      </c>
      <c r="AB43" s="113"/>
      <c r="AC43" s="113"/>
      <c r="AD43" s="113"/>
      <c r="AE43" s="113"/>
      <c r="AF43" s="113"/>
      <c r="AH43" s="97">
        <v>24</v>
      </c>
      <c r="AI43" s="111" t="s">
        <v>4035</v>
      </c>
      <c r="AJ43" s="111">
        <v>25000000</v>
      </c>
      <c r="AK43" s="97">
        <v>1</v>
      </c>
      <c r="AL43" s="97">
        <f t="shared" si="8"/>
        <v>602</v>
      </c>
      <c r="AM43" s="111">
        <f t="shared" si="9"/>
        <v>15050000000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J44" s="318">
        <f>L44/6850000</f>
        <v>-5.171637372262774</v>
      </c>
      <c r="K44" s="36" t="s">
        <v>5512</v>
      </c>
      <c r="L44" s="115">
        <v>-35425716</v>
      </c>
      <c r="M44" s="21" t="s">
        <v>5573</v>
      </c>
      <c r="N44" s="115">
        <f>O44*P44</f>
        <v>54453152.599999994</v>
      </c>
      <c r="O44" s="67">
        <v>2831</v>
      </c>
      <c r="P44" s="67">
        <f>P49</f>
        <v>19234.599999999999</v>
      </c>
      <c r="Q44" s="167">
        <v>86262245.771123007</v>
      </c>
      <c r="R44" s="210" t="s">
        <v>5347</v>
      </c>
      <c r="S44" s="195">
        <f>S43-6</f>
        <v>79</v>
      </c>
      <c r="T44" s="210" t="s">
        <v>5633</v>
      </c>
      <c r="U44" s="210">
        <v>12513</v>
      </c>
      <c r="V44" s="210">
        <f>U44*(1+$R$93+$Q$15*S44/36500)</f>
        <v>13461.519682191782</v>
      </c>
      <c r="W44" s="32">
        <f t="shared" si="13"/>
        <v>13730.750075835618</v>
      </c>
      <c r="X44" s="32">
        <f t="shared" si="14"/>
        <v>13999.980469479453</v>
      </c>
      <c r="Y44" s="113" t="s">
        <v>25</v>
      </c>
      <c r="Z44" s="113"/>
      <c r="AA44" s="113"/>
      <c r="AB44" s="113"/>
      <c r="AC44" s="113"/>
      <c r="AD44" s="113" t="s">
        <v>25</v>
      </c>
      <c r="AE44" s="113"/>
      <c r="AF44" s="113"/>
      <c r="AH44" s="97">
        <v>25</v>
      </c>
      <c r="AI44" s="111" t="s">
        <v>4036</v>
      </c>
      <c r="AJ44" s="111">
        <v>110000</v>
      </c>
      <c r="AK44" s="97">
        <v>1</v>
      </c>
      <c r="AL44" s="97">
        <f t="shared" si="8"/>
        <v>601</v>
      </c>
      <c r="AM44" s="111">
        <f t="shared" si="9"/>
        <v>66110000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5710</v>
      </c>
      <c r="L45" s="115">
        <f>N44</f>
        <v>54453152.599999994</v>
      </c>
      <c r="M45" s="21" t="s">
        <v>5278</v>
      </c>
      <c r="N45" s="115">
        <f t="shared" ref="N45:N55" si="15">O45*P45</f>
        <v>0</v>
      </c>
      <c r="O45" s="67">
        <v>0</v>
      </c>
      <c r="P45" s="67">
        <v>85200</v>
      </c>
      <c r="Q45" s="167">
        <v>372863</v>
      </c>
      <c r="R45" s="210" t="s">
        <v>5546</v>
      </c>
      <c r="S45" s="195">
        <f>S44-23</f>
        <v>56</v>
      </c>
      <c r="T45" s="210" t="s">
        <v>5568</v>
      </c>
      <c r="U45" s="210">
        <v>6511.9</v>
      </c>
      <c r="V45" s="210">
        <f>U45*(1+$R$93+$Q$15*S45/36500)</f>
        <v>6890.6249676712332</v>
      </c>
      <c r="W45" s="32">
        <f t="shared" ref="W45:W50" si="16">V45*(1+$W$19/100)</f>
        <v>7028.437467024658</v>
      </c>
      <c r="X45" s="32">
        <f t="shared" ref="X45:X50" si="17">V45*(1+$X$19/100)</f>
        <v>7166.2499663780827</v>
      </c>
      <c r="Y45" s="120" t="s">
        <v>25</v>
      </c>
      <c r="Z45" s="113"/>
      <c r="AA45" s="113"/>
      <c r="AB45" s="113"/>
      <c r="AC45" s="113" t="s">
        <v>25</v>
      </c>
      <c r="AD45" s="113" t="s">
        <v>25</v>
      </c>
      <c r="AE45" s="113"/>
      <c r="AF45" s="113" t="s">
        <v>25</v>
      </c>
      <c r="AH45" s="97">
        <v>26</v>
      </c>
      <c r="AI45" s="111" t="s">
        <v>3785</v>
      </c>
      <c r="AJ45" s="111">
        <v>380000</v>
      </c>
      <c r="AK45" s="97">
        <v>7</v>
      </c>
      <c r="AL45" s="97">
        <f t="shared" si="8"/>
        <v>600</v>
      </c>
      <c r="AM45" s="111">
        <f t="shared" si="9"/>
        <v>228000000</v>
      </c>
      <c r="AN45" s="97"/>
      <c r="AQ45" s="94"/>
      <c r="AR45" s="94"/>
      <c r="AS45" s="94"/>
      <c r="AV45" s="94"/>
    </row>
    <row r="46" spans="1:54">
      <c r="A46" s="60">
        <v>99</v>
      </c>
      <c r="B46" s="11">
        <v>44</v>
      </c>
      <c r="C46" s="48">
        <f t="shared" si="4"/>
        <v>4968845.0263747573</v>
      </c>
      <c r="D46" s="3">
        <f t="shared" si="5"/>
        <v>4036335.7543016877</v>
      </c>
      <c r="E46" s="3">
        <f t="shared" si="10"/>
        <v>456143524.53016472</v>
      </c>
      <c r="F46" s="3"/>
      <c r="G46" s="11"/>
      <c r="H46" s="11"/>
      <c r="J46" s="112"/>
      <c r="K46" s="97" t="s">
        <v>5566</v>
      </c>
      <c r="L46" s="115">
        <f>J153</f>
        <v>392649686.19999999</v>
      </c>
      <c r="M46" s="21" t="s">
        <v>5564</v>
      </c>
      <c r="N46" s="115">
        <f t="shared" si="15"/>
        <v>866913</v>
      </c>
      <c r="O46" s="67">
        <v>57</v>
      </c>
      <c r="P46" s="67">
        <v>15209</v>
      </c>
      <c r="Q46" s="167">
        <v>6660442</v>
      </c>
      <c r="R46" s="210" t="s">
        <v>5613</v>
      </c>
      <c r="S46" s="195">
        <f>S44-56</f>
        <v>23</v>
      </c>
      <c r="T46" s="210" t="s">
        <v>5618</v>
      </c>
      <c r="U46" s="210">
        <v>16289.1</v>
      </c>
      <c r="V46" s="210">
        <f>U46*(1+$R$93+$Q$15*S46/36500)</f>
        <v>16824.096522739728</v>
      </c>
      <c r="W46" s="32">
        <f t="shared" si="16"/>
        <v>17160.578453194525</v>
      </c>
      <c r="X46" s="32">
        <f t="shared" si="17"/>
        <v>17497.060383649317</v>
      </c>
      <c r="Y46" s="113" t="s">
        <v>25</v>
      </c>
      <c r="Z46" s="113" t="s">
        <v>25</v>
      </c>
      <c r="AA46" s="113"/>
      <c r="AB46" s="113"/>
      <c r="AC46" s="113"/>
      <c r="AD46" s="113"/>
      <c r="AE46" s="113"/>
      <c r="AF46" s="113"/>
      <c r="AH46" s="97">
        <v>27</v>
      </c>
      <c r="AI46" s="111" t="s">
        <v>3871</v>
      </c>
      <c r="AJ46" s="111">
        <v>450000</v>
      </c>
      <c r="AK46" s="97">
        <v>6</v>
      </c>
      <c r="AL46" s="97">
        <f t="shared" si="8"/>
        <v>593</v>
      </c>
      <c r="AM46" s="111">
        <f t="shared" si="9"/>
        <v>266850000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97"/>
      <c r="L47" s="115"/>
      <c r="M47" s="21" t="s">
        <v>4490</v>
      </c>
      <c r="N47" s="115">
        <f t="shared" si="15"/>
        <v>0</v>
      </c>
      <c r="O47" s="67">
        <v>0</v>
      </c>
      <c r="P47" s="67">
        <v>5083</v>
      </c>
      <c r="Q47" s="167">
        <v>5258398</v>
      </c>
      <c r="R47" s="210" t="s">
        <v>5654</v>
      </c>
      <c r="S47" s="195">
        <f>S46-15</f>
        <v>8</v>
      </c>
      <c r="T47" s="210" t="s">
        <v>5657</v>
      </c>
      <c r="U47" s="210">
        <v>16776</v>
      </c>
      <c r="V47" s="210">
        <f>U47*(1+$R$93+$Q$15*S47/36500)</f>
        <v>17133.949282191781</v>
      </c>
      <c r="W47" s="32">
        <f t="shared" si="16"/>
        <v>17476.628267835618</v>
      </c>
      <c r="X47" s="32">
        <f t="shared" si="17"/>
        <v>17819.307253479452</v>
      </c>
      <c r="Y47" s="120" t="s">
        <v>25</v>
      </c>
      <c r="Z47" s="113" t="s">
        <v>25</v>
      </c>
      <c r="AA47" s="113"/>
      <c r="AB47" s="113"/>
      <c r="AC47" s="113"/>
      <c r="AD47" s="113" t="s">
        <v>25</v>
      </c>
      <c r="AE47" s="113"/>
      <c r="AF47" s="113"/>
      <c r="AH47" s="97">
        <v>28</v>
      </c>
      <c r="AI47" s="111" t="s">
        <v>3895</v>
      </c>
      <c r="AJ47" s="111">
        <v>2800000</v>
      </c>
      <c r="AK47" s="97">
        <v>1</v>
      </c>
      <c r="AL47" s="97">
        <f t="shared" si="8"/>
        <v>587</v>
      </c>
      <c r="AM47" s="111">
        <f t="shared" si="9"/>
        <v>1643600000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c r="L48" s="115"/>
      <c r="M48" s="19" t="s">
        <v>4359</v>
      </c>
      <c r="N48" s="115">
        <f t="shared" si="15"/>
        <v>1841380000</v>
      </c>
      <c r="O48" s="67">
        <v>115000</v>
      </c>
      <c r="P48" s="67">
        <v>16012</v>
      </c>
      <c r="Q48" s="167">
        <v>5334013</v>
      </c>
      <c r="R48" s="210" t="s">
        <v>5658</v>
      </c>
      <c r="S48" s="195">
        <f>S47-1</f>
        <v>7</v>
      </c>
      <c r="T48" s="210" t="s">
        <v>5659</v>
      </c>
      <c r="U48" s="210">
        <v>17466.8</v>
      </c>
      <c r="V48" s="210">
        <f>U48*(1+$R$93+$Q$15*S48/36500)</f>
        <v>17826.089683287672</v>
      </c>
      <c r="W48" s="32">
        <f t="shared" si="16"/>
        <v>18182.611476953425</v>
      </c>
      <c r="X48" s="32">
        <f t="shared" si="17"/>
        <v>18539.133270619179</v>
      </c>
      <c r="Y48" s="113" t="s">
        <v>25</v>
      </c>
      <c r="Z48" s="113" t="s">
        <v>25</v>
      </c>
      <c r="AA48" s="113"/>
      <c r="AB48" s="113" t="s">
        <v>25</v>
      </c>
      <c r="AC48" s="113"/>
      <c r="AD48" s="113"/>
      <c r="AE48" s="113"/>
      <c r="AF48" s="113"/>
      <c r="AH48" s="97">
        <v>29</v>
      </c>
      <c r="AI48" s="111" t="s">
        <v>3896</v>
      </c>
      <c r="AJ48" s="111">
        <v>-1500000</v>
      </c>
      <c r="AK48" s="97">
        <v>0</v>
      </c>
      <c r="AL48" s="97">
        <f t="shared" si="8"/>
        <v>586</v>
      </c>
      <c r="AM48" s="111">
        <f t="shared" si="9"/>
        <v>-879000000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t="s">
        <v>5177</v>
      </c>
      <c r="L49" s="115">
        <f>-1200*P55</f>
        <v>-30000000</v>
      </c>
      <c r="M49" s="19" t="s">
        <v>4363</v>
      </c>
      <c r="N49" s="115">
        <f t="shared" si="15"/>
        <v>4421592144.1999998</v>
      </c>
      <c r="O49" s="67">
        <v>229877</v>
      </c>
      <c r="P49" s="67">
        <v>19234.599999999999</v>
      </c>
      <c r="Q49" s="167">
        <v>1279078</v>
      </c>
      <c r="R49" s="210" t="s">
        <v>5688</v>
      </c>
      <c r="S49" s="195">
        <f>S48-12</f>
        <v>-5</v>
      </c>
      <c r="T49" s="210" t="s">
        <v>5689</v>
      </c>
      <c r="U49" s="210">
        <v>17950</v>
      </c>
      <c r="V49" s="210">
        <f>U49*(1+$R$93+$Q$15*S49/36500)</f>
        <v>18153.990684931508</v>
      </c>
      <c r="W49" s="32">
        <f t="shared" si="16"/>
        <v>18517.070498630139</v>
      </c>
      <c r="X49" s="32">
        <f t="shared" si="17"/>
        <v>18880.150312328769</v>
      </c>
      <c r="Y49" s="120" t="s">
        <v>25</v>
      </c>
      <c r="AC49" t="s">
        <v>25</v>
      </c>
      <c r="AD49" t="s">
        <v>25</v>
      </c>
      <c r="AF49" s="113"/>
      <c r="AH49" s="97">
        <v>30</v>
      </c>
      <c r="AI49" s="111" t="s">
        <v>3896</v>
      </c>
      <c r="AJ49" s="111">
        <v>3050000</v>
      </c>
      <c r="AK49" s="97">
        <v>3</v>
      </c>
      <c r="AL49" s="97">
        <f>AL50+AK49</f>
        <v>586</v>
      </c>
      <c r="AM49" s="111">
        <f t="shared" si="9"/>
        <v>1787300000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K50" s="97" t="s">
        <v>5694</v>
      </c>
      <c r="L50" s="115">
        <v>200000</v>
      </c>
      <c r="M50" s="19" t="s">
        <v>5340</v>
      </c>
      <c r="N50" s="115">
        <f t="shared" si="15"/>
        <v>0</v>
      </c>
      <c r="O50" s="67">
        <v>0</v>
      </c>
      <c r="P50" s="67">
        <v>2038</v>
      </c>
      <c r="Q50" s="167">
        <v>149218251</v>
      </c>
      <c r="R50" s="210" t="s">
        <v>5688</v>
      </c>
      <c r="S50" s="195">
        <f>S49</f>
        <v>-5</v>
      </c>
      <c r="T50" s="210" t="s">
        <v>5690</v>
      </c>
      <c r="U50" s="210">
        <v>14821.5</v>
      </c>
      <c r="V50" s="210">
        <f>U50*(1+$R$93+$Q$15*S50/36500)</f>
        <v>14989.937210958906</v>
      </c>
      <c r="W50" s="32">
        <f t="shared" si="16"/>
        <v>15289.735955178085</v>
      </c>
      <c r="X50" s="32">
        <f t="shared" si="17"/>
        <v>15589.534699397262</v>
      </c>
      <c r="Y50" t="s">
        <v>25</v>
      </c>
      <c r="Z50" t="s">
        <v>25</v>
      </c>
      <c r="AA50" s="94"/>
      <c r="AH50" s="97">
        <v>31</v>
      </c>
      <c r="AI50" s="111" t="s">
        <v>3920</v>
      </c>
      <c r="AJ50" s="111">
        <v>-8299612</v>
      </c>
      <c r="AK50" s="97">
        <v>2</v>
      </c>
      <c r="AL50" s="97">
        <f t="shared" si="8"/>
        <v>583</v>
      </c>
      <c r="AM50" s="111">
        <f t="shared" si="9"/>
        <v>-4838673796</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97" t="s">
        <v>5631</v>
      </c>
      <c r="L51" s="115"/>
      <c r="M51" s="19" t="s">
        <v>4862</v>
      </c>
      <c r="N51" s="115">
        <f t="shared" si="15"/>
        <v>0</v>
      </c>
      <c r="O51" s="67">
        <v>0</v>
      </c>
      <c r="P51" s="67">
        <v>12000</v>
      </c>
      <c r="Q51" s="167"/>
      <c r="R51" s="210" t="s">
        <v>5693</v>
      </c>
      <c r="S51" s="195">
        <f>S50-1</f>
        <v>-6</v>
      </c>
      <c r="T51" s="210" t="s">
        <v>5706</v>
      </c>
      <c r="U51" s="210">
        <v>17700.2</v>
      </c>
      <c r="V51" s="210">
        <f>U51*(1+$R$93+$Q$15*S51/36500)</f>
        <v>17887.773626301372</v>
      </c>
      <c r="W51" s="32">
        <f t="shared" ref="W51:W64" si="18">V51*(1+$W$19/100)</f>
        <v>18245.529098827399</v>
      </c>
      <c r="X51" s="32">
        <f t="shared" ref="X51:X64" si="19">V51*(1+$X$19/100)</f>
        <v>18603.284571353426</v>
      </c>
      <c r="Z51" t="s">
        <v>25</v>
      </c>
      <c r="AA51" s="94"/>
      <c r="AH51" s="97">
        <v>32</v>
      </c>
      <c r="AI51" s="111" t="s">
        <v>3915</v>
      </c>
      <c r="AJ51" s="111">
        <v>5000000</v>
      </c>
      <c r="AK51" s="97">
        <v>14</v>
      </c>
      <c r="AL51" s="97">
        <f t="shared" si="8"/>
        <v>581</v>
      </c>
      <c r="AM51" s="111">
        <f t="shared" si="9"/>
        <v>2905000000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t="s">
        <v>5628</v>
      </c>
      <c r="L52" s="115">
        <f>-499*P48</f>
        <v>-7989988</v>
      </c>
      <c r="M52" s="19" t="s">
        <v>4161</v>
      </c>
      <c r="N52" s="111">
        <f>O52*P52</f>
        <v>545020000</v>
      </c>
      <c r="O52" s="97">
        <v>238000</v>
      </c>
      <c r="P52" s="97">
        <v>2290</v>
      </c>
      <c r="Q52" s="167">
        <v>107014127</v>
      </c>
      <c r="R52" s="210" t="s">
        <v>5693</v>
      </c>
      <c r="S52" s="195">
        <f>S51</f>
        <v>-6</v>
      </c>
      <c r="T52" s="210" t="s">
        <v>5705</v>
      </c>
      <c r="U52" s="210">
        <v>14617.3</v>
      </c>
      <c r="V52" s="210">
        <f>U52*(1+$R$93+$Q$15*S52/36500)</f>
        <v>14772.203332602741</v>
      </c>
      <c r="W52" s="32">
        <f t="shared" si="18"/>
        <v>15067.647399254796</v>
      </c>
      <c r="X52" s="32">
        <f t="shared" si="19"/>
        <v>15363.091465906851</v>
      </c>
      <c r="Y52" t="s">
        <v>25</v>
      </c>
      <c r="Z52" t="s">
        <v>25</v>
      </c>
      <c r="AA52" s="94"/>
      <c r="AH52" s="97">
        <v>33</v>
      </c>
      <c r="AI52" s="111" t="s">
        <v>975</v>
      </c>
      <c r="AJ52" s="111">
        <v>-90000</v>
      </c>
      <c r="AK52" s="97">
        <v>1</v>
      </c>
      <c r="AL52" s="97">
        <f t="shared" si="8"/>
        <v>567</v>
      </c>
      <c r="AM52" s="111">
        <f t="shared" si="9"/>
        <v>-51030000</v>
      </c>
      <c r="AN52" s="97"/>
      <c r="AQ52" s="94"/>
      <c r="AR52" s="94"/>
      <c r="AS52" s="94"/>
    </row>
    <row r="53" spans="1:45" ht="30">
      <c r="A53" s="61">
        <v>1400</v>
      </c>
      <c r="B53" s="11">
        <v>51</v>
      </c>
      <c r="C53" s="44">
        <f t="shared" si="4"/>
        <v>5327274.4119174667</v>
      </c>
      <c r="D53" s="3">
        <f t="shared" si="5"/>
        <v>4327498.2551603541</v>
      </c>
      <c r="E53" s="3">
        <f t="shared" si="10"/>
        <v>531175300.80017978</v>
      </c>
      <c r="F53" s="3"/>
      <c r="G53" s="11"/>
      <c r="H53" s="11"/>
      <c r="J53" s="112"/>
      <c r="K53" s="254" t="s">
        <v>5661</v>
      </c>
      <c r="L53" s="115">
        <v>-1605910</v>
      </c>
      <c r="M53" s="19" t="s">
        <v>5092</v>
      </c>
      <c r="N53" s="111">
        <f t="shared" si="15"/>
        <v>0</v>
      </c>
      <c r="O53" s="97">
        <v>0</v>
      </c>
      <c r="P53" s="97">
        <v>9700</v>
      </c>
      <c r="Q53" s="167">
        <v>292985709</v>
      </c>
      <c r="R53" s="210" t="s">
        <v>5674</v>
      </c>
      <c r="S53" s="195">
        <f>S52-1</f>
        <v>-7</v>
      </c>
      <c r="T53" s="210" t="s">
        <v>5707</v>
      </c>
      <c r="U53" s="210">
        <v>17381.7</v>
      </c>
      <c r="V53" s="210">
        <f>U53*(1+$R$93+$Q$15*S53/36500)</f>
        <v>17552.564492054797</v>
      </c>
      <c r="W53" s="32">
        <f t="shared" si="18"/>
        <v>17903.615781895893</v>
      </c>
      <c r="X53" s="32">
        <f t="shared" si="19"/>
        <v>18254.667071736989</v>
      </c>
      <c r="Y53" t="s">
        <v>25</v>
      </c>
      <c r="Z53" t="s">
        <v>25</v>
      </c>
      <c r="AH53" s="97">
        <v>34</v>
      </c>
      <c r="AI53" s="111" t="s">
        <v>4037</v>
      </c>
      <c r="AJ53" s="111">
        <v>5600000</v>
      </c>
      <c r="AK53" s="97">
        <v>4</v>
      </c>
      <c r="AL53" s="97">
        <f t="shared" si="8"/>
        <v>566</v>
      </c>
      <c r="AM53" s="111">
        <f t="shared" si="9"/>
        <v>3169600000</v>
      </c>
      <c r="AN53" s="97"/>
    </row>
    <row r="54" spans="1:45">
      <c r="A54" s="61">
        <v>1400</v>
      </c>
      <c r="B54" s="11">
        <v>52</v>
      </c>
      <c r="C54" s="47">
        <f t="shared" si="4"/>
        <v>5380547.1560366414</v>
      </c>
      <c r="D54" s="3">
        <f t="shared" si="5"/>
        <v>4370773.2377119577</v>
      </c>
      <c r="E54" s="3">
        <f t="shared" si="10"/>
        <v>542808580.73450804</v>
      </c>
      <c r="F54" s="3"/>
      <c r="G54" s="11"/>
      <c r="H54" s="11"/>
      <c r="J54" t="s">
        <v>25</v>
      </c>
      <c r="K54" s="254" t="s">
        <v>5695</v>
      </c>
      <c r="L54" s="115">
        <v>20525950</v>
      </c>
      <c r="M54" s="21" t="s">
        <v>1070</v>
      </c>
      <c r="N54" s="115">
        <f t="shared" si="15"/>
        <v>0</v>
      </c>
      <c r="O54" s="67">
        <v>0</v>
      </c>
      <c r="P54" s="67">
        <v>1120000</v>
      </c>
      <c r="Q54" s="167">
        <v>34658814</v>
      </c>
      <c r="R54" s="210" t="s">
        <v>5674</v>
      </c>
      <c r="S54" s="195">
        <f>S53</f>
        <v>-7</v>
      </c>
      <c r="T54" s="210" t="s">
        <v>5708</v>
      </c>
      <c r="U54" s="210">
        <v>14460.1</v>
      </c>
      <c r="V54" s="210">
        <f>U54*(1+$R$93+$Q$15*S54/36500)</f>
        <v>14602.244763835617</v>
      </c>
      <c r="W54" s="32">
        <f t="shared" si="18"/>
        <v>14894.28965911233</v>
      </c>
      <c r="X54" s="32">
        <f t="shared" si="19"/>
        <v>15186.334554389043</v>
      </c>
      <c r="Y54" t="s">
        <v>25</v>
      </c>
      <c r="AH54" s="97">
        <v>35</v>
      </c>
      <c r="AI54" s="111" t="s">
        <v>3965</v>
      </c>
      <c r="AJ54" s="111">
        <v>750000</v>
      </c>
      <c r="AK54" s="97">
        <v>2</v>
      </c>
      <c r="AL54" s="97">
        <f t="shared" si="8"/>
        <v>562</v>
      </c>
      <c r="AM54" s="111">
        <f t="shared" si="9"/>
        <v>421500000</v>
      </c>
      <c r="AN54" s="97"/>
    </row>
    <row r="55" spans="1:45">
      <c r="A55" s="61">
        <v>1400</v>
      </c>
      <c r="B55" s="11">
        <v>53</v>
      </c>
      <c r="C55" s="47">
        <f t="shared" si="4"/>
        <v>5434352.6275970079</v>
      </c>
      <c r="D55" s="3">
        <f t="shared" si="5"/>
        <v>4414480.970089077</v>
      </c>
      <c r="E55" s="3">
        <f t="shared" si="10"/>
        <v>554684624.00670612</v>
      </c>
      <c r="F55" s="3"/>
      <c r="G55" s="11"/>
      <c r="H55" s="11"/>
      <c r="K55" s="97"/>
      <c r="L55" s="97"/>
      <c r="M55" s="71" t="s">
        <v>5091</v>
      </c>
      <c r="N55" s="115">
        <f t="shared" si="15"/>
        <v>0</v>
      </c>
      <c r="O55" s="67">
        <v>0</v>
      </c>
      <c r="P55" s="67">
        <v>25000</v>
      </c>
      <c r="Q55" s="167">
        <v>197784616</v>
      </c>
      <c r="R55" s="210" t="s">
        <v>5672</v>
      </c>
      <c r="S55" s="195">
        <f>S54-3</f>
        <v>-10</v>
      </c>
      <c r="T55" s="210" t="s">
        <v>5709</v>
      </c>
      <c r="U55" s="210">
        <v>17852.099999999999</v>
      </c>
      <c r="V55" s="210">
        <f>U55*(1+$R$93+$Q$15*S55/36500)</f>
        <v>17986.504303561644</v>
      </c>
      <c r="W55" s="32">
        <f t="shared" si="18"/>
        <v>18346.234389632878</v>
      </c>
      <c r="X55" s="32">
        <f t="shared" si="19"/>
        <v>18705.96447570411</v>
      </c>
      <c r="Y55" t="s">
        <v>25</v>
      </c>
      <c r="Z55" t="s">
        <v>25</v>
      </c>
      <c r="AA55" t="s">
        <v>25</v>
      </c>
      <c r="AH55" s="169">
        <v>36</v>
      </c>
      <c r="AI55" s="168" t="s">
        <v>3975</v>
      </c>
      <c r="AJ55" s="168">
        <v>-4242000</v>
      </c>
      <c r="AK55" s="169">
        <v>2</v>
      </c>
      <c r="AL55" s="169">
        <f t="shared" si="8"/>
        <v>560</v>
      </c>
      <c r="AM55" s="168">
        <f t="shared" si="9"/>
        <v>-2375520000</v>
      </c>
      <c r="AN55" s="169" t="s">
        <v>4046</v>
      </c>
    </row>
    <row r="56" spans="1:45">
      <c r="A56" s="61">
        <v>1400</v>
      </c>
      <c r="B56" s="11">
        <v>54</v>
      </c>
      <c r="C56" s="47">
        <f t="shared" si="4"/>
        <v>5488696.1538729779</v>
      </c>
      <c r="D56" s="3">
        <f t="shared" si="5"/>
        <v>4458625.7797899675</v>
      </c>
      <c r="E56" s="3">
        <f t="shared" si="10"/>
        <v>566808386.86092329</v>
      </c>
      <c r="F56" s="3"/>
      <c r="G56" s="11"/>
      <c r="H56" s="11"/>
      <c r="K56" s="97"/>
      <c r="L56" s="115"/>
      <c r="M56" s="166" t="s">
        <v>1136</v>
      </c>
      <c r="N56" s="115">
        <v>14908</v>
      </c>
      <c r="O56" s="94"/>
      <c r="P56" t="s">
        <v>25</v>
      </c>
      <c r="Q56" s="167">
        <v>41509619</v>
      </c>
      <c r="R56" s="210" t="s">
        <v>5711</v>
      </c>
      <c r="S56" s="195">
        <f>S55-1</f>
        <v>-11</v>
      </c>
      <c r="T56" s="210" t="s">
        <v>5714</v>
      </c>
      <c r="U56" s="210">
        <v>18283</v>
      </c>
      <c r="V56" s="210">
        <f>U56*(1+$R$93+$Q$15*S56/36500)</f>
        <v>18406.62313424658</v>
      </c>
      <c r="W56" s="32">
        <f t="shared" si="18"/>
        <v>18774.755596931511</v>
      </c>
      <c r="X56" s="32">
        <f t="shared" si="19"/>
        <v>19142.888059616445</v>
      </c>
      <c r="Y56" s="94" t="s">
        <v>25</v>
      </c>
      <c r="AH56" s="97">
        <v>37</v>
      </c>
      <c r="AI56" s="111" t="s">
        <v>3975</v>
      </c>
      <c r="AJ56" s="111">
        <v>4100000</v>
      </c>
      <c r="AK56" s="97">
        <v>0</v>
      </c>
      <c r="AL56" s="97">
        <f t="shared" si="8"/>
        <v>558</v>
      </c>
      <c r="AM56" s="111">
        <f t="shared" si="9"/>
        <v>2287800000</v>
      </c>
      <c r="AN56" s="97"/>
    </row>
    <row r="57" spans="1:45">
      <c r="A57" s="61">
        <v>1400</v>
      </c>
      <c r="B57" s="11">
        <v>55</v>
      </c>
      <c r="C57" s="48">
        <f t="shared" si="4"/>
        <v>5543583.1154117081</v>
      </c>
      <c r="D57" s="3">
        <f t="shared" si="5"/>
        <v>4503212.0375878671</v>
      </c>
      <c r="E57" s="3">
        <f t="shared" si="10"/>
        <v>579184925.67596567</v>
      </c>
      <c r="F57" s="3"/>
      <c r="G57" s="11"/>
      <c r="H57" s="11"/>
      <c r="K57" s="97"/>
      <c r="L57" s="115"/>
      <c r="M57" s="166" t="s">
        <v>1137</v>
      </c>
      <c r="N57" s="115">
        <v>5282</v>
      </c>
      <c r="O57" s="94"/>
      <c r="P57" t="s">
        <v>25</v>
      </c>
      <c r="Q57" s="167">
        <v>42684875</v>
      </c>
      <c r="R57" s="210" t="s">
        <v>5715</v>
      </c>
      <c r="S57" s="195">
        <f>S56-1</f>
        <v>-12</v>
      </c>
      <c r="T57" s="210" t="s">
        <v>5716</v>
      </c>
      <c r="U57" s="210">
        <v>18976.3</v>
      </c>
      <c r="V57" s="210">
        <f>U57*(1+$R$93+$Q$15*S57/36500)</f>
        <v>19090.053820273974</v>
      </c>
      <c r="W57" s="32">
        <f t="shared" si="18"/>
        <v>19471.854896679455</v>
      </c>
      <c r="X57" s="32">
        <f t="shared" si="19"/>
        <v>19853.655973084933</v>
      </c>
      <c r="Y57" t="s">
        <v>25</v>
      </c>
      <c r="AH57" s="97">
        <v>38</v>
      </c>
      <c r="AI57" s="111" t="s">
        <v>3981</v>
      </c>
      <c r="AJ57" s="111">
        <v>4100000</v>
      </c>
      <c r="AK57" s="97">
        <v>1</v>
      </c>
      <c r="AL57" s="97">
        <f t="shared" si="8"/>
        <v>558</v>
      </c>
      <c r="AM57" s="111">
        <f t="shared" si="9"/>
        <v>2287800000</v>
      </c>
      <c r="AN57" s="97"/>
    </row>
    <row r="58" spans="1:45">
      <c r="A58" s="61">
        <v>1400</v>
      </c>
      <c r="B58" s="11">
        <v>56</v>
      </c>
      <c r="C58" s="48">
        <f t="shared" si="4"/>
        <v>5599018.9465658255</v>
      </c>
      <c r="D58" s="3">
        <f t="shared" si="5"/>
        <v>4548244.1579637462</v>
      </c>
      <c r="E58" s="3">
        <f t="shared" si="10"/>
        <v>591819398.97808707</v>
      </c>
      <c r="F58" s="3"/>
      <c r="G58" s="11"/>
      <c r="H58" s="11"/>
      <c r="J58" s="112"/>
      <c r="K58" s="57"/>
      <c r="L58" s="115"/>
      <c r="M58" s="166"/>
      <c r="N58" s="111"/>
      <c r="O58" s="113"/>
      <c r="P58" s="113"/>
      <c r="Q58" s="167">
        <v>87527771</v>
      </c>
      <c r="R58" s="210" t="s">
        <v>5715</v>
      </c>
      <c r="S58" s="195">
        <f>S57</f>
        <v>-12</v>
      </c>
      <c r="T58" s="210" t="s">
        <v>5717</v>
      </c>
      <c r="U58" s="210">
        <v>5060.8999999999996</v>
      </c>
      <c r="V58" s="210">
        <f>U58*(1+$R$93+$Q$15*S58/36500)</f>
        <v>5091.2376690410956</v>
      </c>
      <c r="W58" s="32">
        <f t="shared" si="18"/>
        <v>5193.0624224219173</v>
      </c>
      <c r="X58" s="32">
        <f t="shared" si="19"/>
        <v>5294.8871758027399</v>
      </c>
      <c r="Y58" t="s">
        <v>25</v>
      </c>
      <c r="Z58" t="s">
        <v>25</v>
      </c>
      <c r="AA58" t="s">
        <v>25</v>
      </c>
      <c r="AH58" s="97">
        <v>39</v>
      </c>
      <c r="AI58" s="111" t="s">
        <v>3990</v>
      </c>
      <c r="AJ58" s="111">
        <v>790000</v>
      </c>
      <c r="AK58" s="97">
        <v>15</v>
      </c>
      <c r="AL58" s="97">
        <f t="shared" si="8"/>
        <v>557</v>
      </c>
      <c r="AM58" s="111">
        <f t="shared" si="9"/>
        <v>440030000</v>
      </c>
      <c r="AN58" s="97"/>
    </row>
    <row r="59" spans="1:45">
      <c r="A59" s="61">
        <v>1400</v>
      </c>
      <c r="B59" s="11">
        <v>57</v>
      </c>
      <c r="C59" s="48">
        <f t="shared" si="4"/>
        <v>5655009.1360314842</v>
      </c>
      <c r="D59" s="3">
        <f t="shared" si="5"/>
        <v>4593726.5995433833</v>
      </c>
      <c r="E59" s="3">
        <f t="shared" si="10"/>
        <v>604717069.49413705</v>
      </c>
      <c r="F59" s="3"/>
      <c r="G59" s="11"/>
      <c r="H59" s="11"/>
      <c r="K59" s="97"/>
      <c r="L59" s="115"/>
      <c r="M59" s="166"/>
      <c r="N59" s="111"/>
      <c r="P59" t="s">
        <v>25</v>
      </c>
      <c r="Q59" s="167">
        <v>427592</v>
      </c>
      <c r="R59" s="210" t="s">
        <v>5720</v>
      </c>
      <c r="S59" s="195">
        <f>S58-1</f>
        <v>-13</v>
      </c>
      <c r="T59" s="210" t="s">
        <v>5724</v>
      </c>
      <c r="U59" s="210">
        <v>18850</v>
      </c>
      <c r="V59" s="210">
        <f>U59*(1+$R$93+$Q$15*S59/36500)</f>
        <v>18948.536438356168</v>
      </c>
      <c r="W59" s="32">
        <f t="shared" si="18"/>
        <v>19327.507167123291</v>
      </c>
      <c r="X59" s="32">
        <f t="shared" si="19"/>
        <v>19706.477895890417</v>
      </c>
      <c r="Y59" t="s">
        <v>25</v>
      </c>
      <c r="AA59" s="94"/>
      <c r="AB59" s="94"/>
      <c r="AC59" s="94"/>
      <c r="AH59" s="169">
        <v>40</v>
      </c>
      <c r="AI59" s="168" t="s">
        <v>4021</v>
      </c>
      <c r="AJ59" s="168">
        <v>-3865000</v>
      </c>
      <c r="AK59" s="169">
        <v>6</v>
      </c>
      <c r="AL59" s="169">
        <f t="shared" si="8"/>
        <v>542</v>
      </c>
      <c r="AM59" s="170">
        <f t="shared" si="9"/>
        <v>-2094830000</v>
      </c>
      <c r="AN59" s="169" t="s">
        <v>4047</v>
      </c>
    </row>
    <row r="60" spans="1:45">
      <c r="A60" s="61">
        <v>1400</v>
      </c>
      <c r="B60" s="11">
        <v>58</v>
      </c>
      <c r="C60" s="3">
        <f t="shared" si="4"/>
        <v>5711559.227391799</v>
      </c>
      <c r="D60" s="3">
        <f t="shared" si="5"/>
        <v>4639663.8655388169</v>
      </c>
      <c r="E60" s="3">
        <f t="shared" si="10"/>
        <v>617883306.24587286</v>
      </c>
      <c r="F60" s="3"/>
      <c r="G60" s="11"/>
      <c r="H60" s="11"/>
      <c r="K60" s="166"/>
      <c r="L60" s="115"/>
      <c r="M60" s="166"/>
      <c r="N60" s="111"/>
      <c r="P60" t="s">
        <v>25</v>
      </c>
      <c r="Q60" s="167"/>
      <c r="R60" s="210" t="s">
        <v>5720</v>
      </c>
      <c r="S60" s="195">
        <f>S59</f>
        <v>-13</v>
      </c>
      <c r="T60" s="210" t="s">
        <v>5725</v>
      </c>
      <c r="U60" s="210">
        <v>15615.5</v>
      </c>
      <c r="V60" s="210">
        <f>U60*(1+$R$93+$Q$15*S60/36500)</f>
        <v>15697.128421917811</v>
      </c>
      <c r="W60" s="32">
        <f t="shared" si="18"/>
        <v>16011.070990356167</v>
      </c>
      <c r="X60" s="32">
        <f t="shared" si="19"/>
        <v>16325.013558794524</v>
      </c>
      <c r="AA60" s="94"/>
      <c r="AB60" s="94"/>
      <c r="AC60" s="94"/>
      <c r="AH60" s="20">
        <v>41</v>
      </c>
      <c r="AI60" s="115" t="s">
        <v>4051</v>
      </c>
      <c r="AJ60" s="115">
        <v>18800000</v>
      </c>
      <c r="AK60" s="20">
        <v>3</v>
      </c>
      <c r="AL60" s="97">
        <f t="shared" si="8"/>
        <v>536</v>
      </c>
      <c r="AM60" s="111">
        <f t="shared" si="9"/>
        <v>10076800000</v>
      </c>
      <c r="AN60" s="20"/>
    </row>
    <row r="61" spans="1:45">
      <c r="A61" s="61">
        <v>1400</v>
      </c>
      <c r="B61" s="11">
        <v>59</v>
      </c>
      <c r="C61" s="3">
        <f t="shared" si="4"/>
        <v>5768674.819665717</v>
      </c>
      <c r="D61" s="3">
        <f t="shared" si="5"/>
        <v>4686060.5041942047</v>
      </c>
      <c r="E61" s="3">
        <f t="shared" si="10"/>
        <v>631323586.68626177</v>
      </c>
      <c r="F61" s="3"/>
      <c r="G61" s="11"/>
      <c r="H61" s="11"/>
      <c r="K61" s="166"/>
      <c r="L61" s="115"/>
      <c r="M61" s="166"/>
      <c r="N61" s="111"/>
      <c r="Q61" s="167"/>
      <c r="R61" s="210" t="s">
        <v>5720</v>
      </c>
      <c r="S61" s="195">
        <f>S60</f>
        <v>-13</v>
      </c>
      <c r="T61" s="210" t="s">
        <v>5726</v>
      </c>
      <c r="U61" s="210">
        <v>4989.3</v>
      </c>
      <c r="V61" s="210">
        <f>U61*(1+$R$93+$Q$15*S61/36500)</f>
        <v>5015.3810531506861</v>
      </c>
      <c r="W61" s="32">
        <f t="shared" si="18"/>
        <v>5115.6886742136994</v>
      </c>
      <c r="X61" s="32">
        <f t="shared" si="19"/>
        <v>5215.9962952767137</v>
      </c>
      <c r="AA61" s="94"/>
      <c r="AB61" s="94"/>
      <c r="AC61" s="94"/>
      <c r="AH61" s="20">
        <v>42</v>
      </c>
      <c r="AI61" s="115" t="s">
        <v>4068</v>
      </c>
      <c r="AJ61" s="115">
        <v>500000</v>
      </c>
      <c r="AK61" s="20">
        <v>1</v>
      </c>
      <c r="AL61" s="97">
        <f t="shared" si="8"/>
        <v>533</v>
      </c>
      <c r="AM61" s="111">
        <f t="shared" si="9"/>
        <v>266500000</v>
      </c>
      <c r="AN61" s="20"/>
    </row>
    <row r="62" spans="1:45">
      <c r="A62" s="61">
        <v>1400</v>
      </c>
      <c r="B62" s="11">
        <v>60</v>
      </c>
      <c r="C62" s="3">
        <f t="shared" si="4"/>
        <v>5826361.5678623738</v>
      </c>
      <c r="D62" s="3">
        <f t="shared" si="5"/>
        <v>4732921.1092361463</v>
      </c>
      <c r="E62" s="46">
        <f t="shared" si="10"/>
        <v>645043498.87861323</v>
      </c>
      <c r="F62" s="3"/>
      <c r="G62" s="11"/>
      <c r="H62" s="11"/>
      <c r="J62" s="112"/>
      <c r="K62" s="166"/>
      <c r="L62" s="115"/>
      <c r="M62" s="166" t="s">
        <v>4406</v>
      </c>
      <c r="N62" s="111">
        <f>-W148</f>
        <v>-159880916.99838629</v>
      </c>
      <c r="P62" t="s">
        <v>25</v>
      </c>
      <c r="Q62" s="167"/>
      <c r="R62" s="210"/>
      <c r="S62" s="195"/>
      <c r="T62" s="210"/>
      <c r="U62" s="210"/>
      <c r="V62" s="210"/>
      <c r="W62" s="32"/>
      <c r="X62" s="32"/>
      <c r="AA62" s="94"/>
      <c r="AB62" s="94"/>
      <c r="AC62" s="94"/>
      <c r="AH62" s="20">
        <v>43</v>
      </c>
      <c r="AI62" s="115" t="s">
        <v>4072</v>
      </c>
      <c r="AJ62" s="115">
        <v>200000</v>
      </c>
      <c r="AK62" s="20">
        <v>3</v>
      </c>
      <c r="AL62" s="97">
        <f>AL63+AK62</f>
        <v>532</v>
      </c>
      <c r="AM62" s="111">
        <f t="shared" si="9"/>
        <v>106400000</v>
      </c>
      <c r="AN62" s="20"/>
    </row>
    <row r="63" spans="1:45">
      <c r="E63" s="26"/>
      <c r="K63" s="166"/>
      <c r="L63" s="115"/>
      <c r="M63" s="166"/>
      <c r="N63" s="111"/>
      <c r="P63" t="s">
        <v>25</v>
      </c>
      <c r="Q63" s="167"/>
      <c r="R63" s="210" t="s">
        <v>25</v>
      </c>
      <c r="S63" s="195"/>
      <c r="T63" s="210" t="s">
        <v>25</v>
      </c>
      <c r="U63" s="210"/>
      <c r="V63" s="210">
        <f>U63*(1+$R$93+$Q$15*S63/36500)</f>
        <v>0</v>
      </c>
      <c r="W63" s="32">
        <f t="shared" si="18"/>
        <v>0</v>
      </c>
      <c r="X63" s="32">
        <f t="shared" si="19"/>
        <v>0</v>
      </c>
      <c r="AA63" s="94"/>
      <c r="AB63" s="94"/>
      <c r="AC63" s="94"/>
      <c r="AH63" s="20">
        <v>44</v>
      </c>
      <c r="AI63" s="115" t="s">
        <v>4079</v>
      </c>
      <c r="AJ63" s="115">
        <v>1000000</v>
      </c>
      <c r="AK63" s="20">
        <v>3</v>
      </c>
      <c r="AL63" s="97">
        <f t="shared" si="8"/>
        <v>529</v>
      </c>
      <c r="AM63" s="111">
        <f t="shared" si="9"/>
        <v>529000000</v>
      </c>
      <c r="AN63" s="20"/>
    </row>
    <row r="64" spans="1:45">
      <c r="E64" s="26"/>
      <c r="K64" s="166"/>
      <c r="L64" s="115"/>
      <c r="M64" s="166"/>
      <c r="N64" s="111"/>
      <c r="Q64" s="167" t="s">
        <v>25</v>
      </c>
      <c r="R64" s="166" t="s">
        <v>25</v>
      </c>
      <c r="S64" s="166"/>
      <c r="T64" s="166" t="s">
        <v>25</v>
      </c>
      <c r="U64" s="166"/>
      <c r="V64" s="210">
        <f>U64*(1+$R$93+$Q$15*S64/36500)</f>
        <v>0</v>
      </c>
      <c r="W64" s="32">
        <f t="shared" si="18"/>
        <v>0</v>
      </c>
      <c r="X64" s="32">
        <f t="shared" si="19"/>
        <v>0</v>
      </c>
      <c r="AA64" s="94" t="s">
        <v>25</v>
      </c>
      <c r="AB64" s="94"/>
      <c r="AC64" s="94"/>
      <c r="AH64" s="20">
        <v>45</v>
      </c>
      <c r="AI64" s="115" t="s">
        <v>4091</v>
      </c>
      <c r="AJ64" s="115">
        <v>1300000</v>
      </c>
      <c r="AK64" s="20">
        <v>0</v>
      </c>
      <c r="AL64" s="97">
        <f>AL65+AK64</f>
        <v>526</v>
      </c>
      <c r="AM64" s="111">
        <f t="shared" si="9"/>
        <v>683800000</v>
      </c>
      <c r="AN64" s="20"/>
    </row>
    <row r="65" spans="1:40">
      <c r="K65" s="166"/>
      <c r="L65" s="115"/>
      <c r="M65" s="166"/>
      <c r="N65" s="111">
        <f>SUM(N16:N64)</f>
        <v>4910589955.8323708</v>
      </c>
      <c r="P65" t="s">
        <v>25</v>
      </c>
      <c r="Q65" s="167">
        <f>SUM(N21:N25)-SUM(Q20:Q64)</f>
        <v>2516089211.6064177</v>
      </c>
      <c r="R65" s="166" t="s">
        <v>25</v>
      </c>
      <c r="S65" s="166" t="s">
        <v>25</v>
      </c>
      <c r="T65" s="166" t="s">
        <v>25</v>
      </c>
      <c r="U65" s="166"/>
      <c r="V65" s="166"/>
      <c r="W65" s="32"/>
      <c r="X65" s="32"/>
      <c r="AA65" s="94"/>
      <c r="AB65" s="94"/>
      <c r="AC65" s="94"/>
      <c r="AH65" s="20">
        <v>45</v>
      </c>
      <c r="AI65" s="115" t="s">
        <v>4091</v>
      </c>
      <c r="AJ65" s="115">
        <v>995000</v>
      </c>
      <c r="AK65" s="20">
        <v>2</v>
      </c>
      <c r="AL65" s="97">
        <f t="shared" ref="AL65:AL92" si="20">AL66+AK65</f>
        <v>526</v>
      </c>
      <c r="AM65" s="111">
        <f t="shared" si="9"/>
        <v>523370000</v>
      </c>
      <c r="AN65" s="20"/>
    </row>
    <row r="66" spans="1:40">
      <c r="K66" s="166" t="s">
        <v>593</v>
      </c>
      <c r="L66" s="111">
        <f>SUM(L16:L49)</f>
        <v>6404517022.9692421</v>
      </c>
      <c r="M66" s="166"/>
      <c r="N66" s="111">
        <f>N16+N17+N35</f>
        <v>641053</v>
      </c>
      <c r="R66" s="113" t="s">
        <v>25</v>
      </c>
      <c r="S66" s="113" t="s">
        <v>25</v>
      </c>
      <c r="T66" s="120" t="s">
        <v>25</v>
      </c>
      <c r="U66" s="113" t="s">
        <v>25</v>
      </c>
      <c r="V66" s="113" t="s">
        <v>25</v>
      </c>
      <c r="W66" s="192" t="s">
        <v>25</v>
      </c>
      <c r="X66" s="192"/>
      <c r="Y66" s="94">
        <v>4661</v>
      </c>
      <c r="AA66" s="94"/>
      <c r="AB66" s="94"/>
      <c r="AC66" s="94"/>
      <c r="AH66" s="20">
        <v>46</v>
      </c>
      <c r="AI66" s="115" t="s">
        <v>4101</v>
      </c>
      <c r="AJ66" s="115">
        <v>13000000</v>
      </c>
      <c r="AK66" s="20">
        <v>2</v>
      </c>
      <c r="AL66" s="97">
        <f t="shared" si="20"/>
        <v>524</v>
      </c>
      <c r="AM66" s="111">
        <f t="shared" si="9"/>
        <v>6812000000</v>
      </c>
      <c r="AN66" s="20"/>
    </row>
    <row r="67" spans="1:40">
      <c r="A67" t="s">
        <v>25</v>
      </c>
      <c r="F67" t="s">
        <v>310</v>
      </c>
      <c r="G67" t="s">
        <v>4083</v>
      </c>
      <c r="K67" s="166" t="s">
        <v>594</v>
      </c>
      <c r="L67" s="111">
        <f>L16+L17+L27</f>
        <v>4956372</v>
      </c>
      <c r="M67" s="111"/>
      <c r="N67" s="166"/>
      <c r="O67" s="113"/>
      <c r="P67" s="113" t="s">
        <v>25</v>
      </c>
      <c r="Q67" s="94" t="s">
        <v>25</v>
      </c>
      <c r="R67" s="113" t="s">
        <v>25</v>
      </c>
      <c r="S67" s="113"/>
      <c r="T67" s="113" t="s">
        <v>25</v>
      </c>
      <c r="U67" s="113" t="s">
        <v>25</v>
      </c>
      <c r="V67" s="120" t="s">
        <v>25</v>
      </c>
      <c r="W67" s="192"/>
      <c r="X67" s="192" t="s">
        <v>25</v>
      </c>
      <c r="Y67" s="94">
        <v>10000</v>
      </c>
      <c r="AA67" s="94"/>
      <c r="AB67" s="94"/>
      <c r="AC67" s="94"/>
      <c r="AH67" s="20">
        <v>47</v>
      </c>
      <c r="AI67" s="115" t="s">
        <v>4114</v>
      </c>
      <c r="AJ67" s="115">
        <v>-3100000</v>
      </c>
      <c r="AK67" s="20">
        <v>3</v>
      </c>
      <c r="AL67" s="97">
        <f t="shared" si="20"/>
        <v>522</v>
      </c>
      <c r="AM67" s="111">
        <f t="shared" si="9"/>
        <v>-1618200000</v>
      </c>
      <c r="AN67" s="20"/>
    </row>
    <row r="68" spans="1:40">
      <c r="F68" t="s">
        <v>4087</v>
      </c>
      <c r="G68" t="s">
        <v>4082</v>
      </c>
      <c r="K68" s="54" t="s">
        <v>709</v>
      </c>
      <c r="L68" s="1">
        <f>L66+N7</f>
        <v>6504517022.9692421</v>
      </c>
      <c r="O68" s="94"/>
      <c r="P68" s="94"/>
      <c r="Q68" s="166" t="s">
        <v>650</v>
      </c>
      <c r="R68" s="166"/>
      <c r="S68" s="166"/>
      <c r="T68" s="166"/>
      <c r="U68" s="166"/>
      <c r="V68" s="166"/>
      <c r="W68" s="32"/>
      <c r="X68" s="32"/>
      <c r="Y68" s="94">
        <v>604</v>
      </c>
      <c r="AA68" s="94" t="s">
        <v>25</v>
      </c>
      <c r="AB68" s="94"/>
      <c r="AC68" s="94"/>
      <c r="AH68" s="20">
        <v>48</v>
      </c>
      <c r="AI68" s="115" t="s">
        <v>4129</v>
      </c>
      <c r="AJ68" s="115">
        <v>45640000</v>
      </c>
      <c r="AK68" s="20">
        <v>1</v>
      </c>
      <c r="AL68" s="97">
        <f t="shared" si="20"/>
        <v>519</v>
      </c>
      <c r="AM68" s="111">
        <f t="shared" si="9"/>
        <v>23687160000</v>
      </c>
      <c r="AN68" s="20"/>
    </row>
    <row r="69" spans="1:40" ht="30">
      <c r="F69" t="s">
        <v>4088</v>
      </c>
      <c r="G69" t="s">
        <v>4084</v>
      </c>
      <c r="M69" s="25"/>
      <c r="O69" t="s">
        <v>25</v>
      </c>
      <c r="Q69" s="166" t="s">
        <v>267</v>
      </c>
      <c r="R69" s="166" t="s">
        <v>180</v>
      </c>
      <c r="S69" s="166" t="s">
        <v>183</v>
      </c>
      <c r="T69" s="166" t="s">
        <v>8</v>
      </c>
      <c r="U69" s="166" t="s">
        <v>4334</v>
      </c>
      <c r="V69" s="71" t="s">
        <v>4336</v>
      </c>
      <c r="W69" s="32">
        <v>2</v>
      </c>
      <c r="X69" s="32">
        <v>4</v>
      </c>
      <c r="Y69" s="94">
        <v>1094</v>
      </c>
      <c r="AA69" s="94"/>
      <c r="AB69" s="94"/>
      <c r="AC69" s="94"/>
      <c r="AH69" s="20">
        <v>49</v>
      </c>
      <c r="AI69" s="115" t="s">
        <v>4134</v>
      </c>
      <c r="AJ69" s="115">
        <v>33500000</v>
      </c>
      <c r="AK69" s="20">
        <v>1</v>
      </c>
      <c r="AL69" s="97">
        <f t="shared" si="20"/>
        <v>518</v>
      </c>
      <c r="AM69" s="111">
        <f t="shared" si="9"/>
        <v>17353000000</v>
      </c>
      <c r="AN69" s="20"/>
    </row>
    <row r="70" spans="1:40">
      <c r="G70" t="s">
        <v>4085</v>
      </c>
      <c r="M70" s="25" t="s">
        <v>4064</v>
      </c>
      <c r="N70" s="273" t="s">
        <v>5241</v>
      </c>
      <c r="O70" s="94" t="s">
        <v>25</v>
      </c>
      <c r="P70" s="113"/>
      <c r="Q70" s="166">
        <v>0</v>
      </c>
      <c r="R70" s="166" t="s">
        <v>4154</v>
      </c>
      <c r="S70" s="166">
        <f>S97</f>
        <v>669</v>
      </c>
      <c r="T70" s="166"/>
      <c r="U70" s="166"/>
      <c r="V70" s="71"/>
      <c r="W70" s="32"/>
      <c r="X70" s="32"/>
      <c r="Y70" s="94">
        <v>976</v>
      </c>
      <c r="Z70" t="s">
        <v>25</v>
      </c>
      <c r="AH70" s="20">
        <v>50</v>
      </c>
      <c r="AI70" s="115" t="s">
        <v>4139</v>
      </c>
      <c r="AJ70" s="115">
        <v>12000000</v>
      </c>
      <c r="AK70" s="20">
        <v>1</v>
      </c>
      <c r="AL70" s="97">
        <f t="shared" si="20"/>
        <v>517</v>
      </c>
      <c r="AM70" s="115">
        <f t="shared" si="9"/>
        <v>6204000000</v>
      </c>
      <c r="AN70" s="20"/>
    </row>
    <row r="71" spans="1:40">
      <c r="G71" t="s">
        <v>4086</v>
      </c>
      <c r="M71" s="175"/>
      <c r="N71" s="94"/>
      <c r="O71" s="94"/>
      <c r="P71" s="113"/>
      <c r="Q71" s="167">
        <v>863944</v>
      </c>
      <c r="R71" s="166" t="s">
        <v>4399</v>
      </c>
      <c r="S71" s="166">
        <f>S70-62</f>
        <v>607</v>
      </c>
      <c r="T71" s="188" t="s">
        <v>4463</v>
      </c>
      <c r="U71" s="166">
        <v>184.6</v>
      </c>
      <c r="V71" s="166">
        <f>U71*(1+$R$93+$Q$15*S71/36500)</f>
        <v>273.36377205479454</v>
      </c>
      <c r="W71" s="32">
        <f t="shared" ref="W71:W78" si="21">V71*(1+$W$19/100)</f>
        <v>278.83104749589046</v>
      </c>
      <c r="X71" s="32">
        <f t="shared" ref="X71:X78" si="22">V71*(1+$X$19/100)</f>
        <v>284.29832293698632</v>
      </c>
      <c r="Y71" s="94">
        <v>108344</v>
      </c>
      <c r="AH71" s="20">
        <v>51</v>
      </c>
      <c r="AI71" s="115" t="s">
        <v>4144</v>
      </c>
      <c r="AJ71" s="115">
        <v>15500000</v>
      </c>
      <c r="AK71" s="20">
        <v>4</v>
      </c>
      <c r="AL71" s="97">
        <f t="shared" si="20"/>
        <v>516</v>
      </c>
      <c r="AM71" s="115">
        <f t="shared" si="9"/>
        <v>7998000000</v>
      </c>
      <c r="AN71" s="20"/>
    </row>
    <row r="72" spans="1:40">
      <c r="G72" t="s">
        <v>4090</v>
      </c>
      <c r="M72" s="94" t="s">
        <v>4733</v>
      </c>
      <c r="N72" s="94"/>
      <c r="O72" s="94"/>
      <c r="Q72" s="167">
        <v>1692313</v>
      </c>
      <c r="R72" s="166" t="s">
        <v>4466</v>
      </c>
      <c r="S72" s="195">
        <f>S71-21</f>
        <v>586</v>
      </c>
      <c r="T72" s="187" t="s">
        <v>4467</v>
      </c>
      <c r="U72" s="166">
        <v>168.5</v>
      </c>
      <c r="V72" s="166">
        <f>U72*(1+$R$93+$Q$15*S72/36500)</f>
        <v>246.80772054794522</v>
      </c>
      <c r="W72" s="32">
        <f t="shared" si="21"/>
        <v>251.74387495890414</v>
      </c>
      <c r="X72" s="32">
        <f t="shared" si="22"/>
        <v>256.68002936986306</v>
      </c>
      <c r="Y72" s="94">
        <v>5468</v>
      </c>
      <c r="AH72" s="20">
        <v>52</v>
      </c>
      <c r="AI72" s="115" t="s">
        <v>4148</v>
      </c>
      <c r="AJ72" s="115">
        <v>150000</v>
      </c>
      <c r="AK72" s="20">
        <v>1</v>
      </c>
      <c r="AL72" s="97">
        <f t="shared" si="20"/>
        <v>512</v>
      </c>
      <c r="AM72" s="115">
        <f t="shared" si="9"/>
        <v>76800000</v>
      </c>
      <c r="AN72" s="20"/>
    </row>
    <row r="73" spans="1:40">
      <c r="G73" t="s">
        <v>4089</v>
      </c>
      <c r="M73" s="120" t="s">
        <v>4377</v>
      </c>
      <c r="O73" s="112"/>
      <c r="Q73" s="167">
        <v>101153</v>
      </c>
      <c r="R73" s="166" t="s">
        <v>4469</v>
      </c>
      <c r="S73" s="195">
        <f>S72-1</f>
        <v>585</v>
      </c>
      <c r="T73" s="187" t="s">
        <v>4471</v>
      </c>
      <c r="U73" s="166">
        <v>166.7</v>
      </c>
      <c r="V73" s="166">
        <f>U73*(1+$R$93+$Q$15*S73/36500)</f>
        <v>244.04331945205482</v>
      </c>
      <c r="W73" s="32">
        <f t="shared" si="21"/>
        <v>248.92418584109592</v>
      </c>
      <c r="X73" s="32">
        <f t="shared" si="22"/>
        <v>253.80505223013702</v>
      </c>
      <c r="Y73" s="94">
        <v>31131</v>
      </c>
      <c r="Z73" s="113"/>
      <c r="AH73" s="177">
        <v>53</v>
      </c>
      <c r="AI73" s="178" t="s">
        <v>4154</v>
      </c>
      <c r="AJ73" s="178">
        <v>29000000</v>
      </c>
      <c r="AK73" s="177">
        <v>15</v>
      </c>
      <c r="AL73" s="177">
        <f t="shared" si="20"/>
        <v>511</v>
      </c>
      <c r="AM73" s="178">
        <f t="shared" si="9"/>
        <v>14819000000</v>
      </c>
      <c r="AN73" s="177" t="s">
        <v>4164</v>
      </c>
    </row>
    <row r="74" spans="1:40">
      <c r="M74" s="120" t="s">
        <v>4460</v>
      </c>
      <c r="N74" s="94"/>
      <c r="Q74" s="167">
        <v>183105</v>
      </c>
      <c r="R74" s="166" t="s">
        <v>4209</v>
      </c>
      <c r="S74" s="195">
        <f>S73-1</f>
        <v>584</v>
      </c>
      <c r="T74" s="187" t="s">
        <v>4475</v>
      </c>
      <c r="U74" s="166">
        <v>166.6</v>
      </c>
      <c r="V74" s="166">
        <f>U74*(1+$R$93+$Q$15*S74/36500)</f>
        <v>243.76912000000002</v>
      </c>
      <c r="W74" s="32">
        <f t="shared" si="21"/>
        <v>248.64450240000002</v>
      </c>
      <c r="X74" s="32">
        <f t="shared" si="22"/>
        <v>253.51988480000003</v>
      </c>
      <c r="Y74" s="94">
        <v>521</v>
      </c>
      <c r="Z74" s="120"/>
      <c r="AH74" s="20">
        <v>54</v>
      </c>
      <c r="AI74" s="115" t="s">
        <v>4188</v>
      </c>
      <c r="AJ74" s="115">
        <v>-130000</v>
      </c>
      <c r="AK74" s="20">
        <v>7</v>
      </c>
      <c r="AL74" s="97">
        <f t="shared" si="20"/>
        <v>496</v>
      </c>
      <c r="AM74" s="115">
        <f t="shared" si="9"/>
        <v>-64480000</v>
      </c>
      <c r="AN74" s="20" t="s">
        <v>4190</v>
      </c>
    </row>
    <row r="75" spans="1:40">
      <c r="G75" s="94"/>
      <c r="H75" s="94"/>
      <c r="M75" s="120" t="s">
        <v>4527</v>
      </c>
      <c r="N75" s="94"/>
      <c r="O75" s="274"/>
      <c r="P75" t="s">
        <v>25</v>
      </c>
      <c r="Q75" s="167">
        <v>168846</v>
      </c>
      <c r="R75" s="166" t="s">
        <v>3675</v>
      </c>
      <c r="S75" s="195">
        <f>S74-30</f>
        <v>554</v>
      </c>
      <c r="T75" s="187" t="s">
        <v>4561</v>
      </c>
      <c r="U75" s="166">
        <v>172.2</v>
      </c>
      <c r="V75" s="166">
        <f>U75*(1+$R$93+$Q$15*S75/36500)</f>
        <v>248.00008109589041</v>
      </c>
      <c r="W75" s="32">
        <f t="shared" si="21"/>
        <v>252.96008271780823</v>
      </c>
      <c r="X75" s="32">
        <f t="shared" si="22"/>
        <v>257.92008433972603</v>
      </c>
      <c r="Y75" s="94">
        <v>595</v>
      </c>
      <c r="Z75" s="113"/>
      <c r="AH75" s="20">
        <v>55</v>
      </c>
      <c r="AI75" s="115" t="s">
        <v>4236</v>
      </c>
      <c r="AJ75" s="115">
        <v>232000</v>
      </c>
      <c r="AK75" s="20">
        <v>2</v>
      </c>
      <c r="AL75" s="97">
        <f t="shared" si="20"/>
        <v>489</v>
      </c>
      <c r="AM75" s="115">
        <f>AJ75*AL75</f>
        <v>113448000</v>
      </c>
      <c r="AN75" s="20" t="s">
        <v>4238</v>
      </c>
    </row>
    <row r="76" spans="1:40" ht="30">
      <c r="D76" s="3"/>
      <c r="E76" s="11" t="s">
        <v>304</v>
      </c>
      <c r="G76" s="94"/>
      <c r="H76" s="94"/>
      <c r="M76" s="203" t="s">
        <v>4630</v>
      </c>
      <c r="N76" s="94"/>
      <c r="P76" s="113"/>
      <c r="Q76" s="167">
        <v>19918023</v>
      </c>
      <c r="R76" s="5" t="s">
        <v>4794</v>
      </c>
      <c r="S76" s="195">
        <f>S75-75</f>
        <v>479</v>
      </c>
      <c r="T76" s="187" t="s">
        <v>4796</v>
      </c>
      <c r="U76" s="210">
        <v>183</v>
      </c>
      <c r="V76" s="210">
        <f>U76*(1+$R$93+$Q$15*S76/36500)</f>
        <v>253.02532602739728</v>
      </c>
      <c r="W76" s="32">
        <f t="shared" si="21"/>
        <v>258.08583254794524</v>
      </c>
      <c r="X76" s="32">
        <f t="shared" si="22"/>
        <v>263.14633906849321</v>
      </c>
      <c r="Y76" s="94">
        <v>11086</v>
      </c>
      <c r="Z76" s="113"/>
      <c r="AH76" s="20">
        <v>56</v>
      </c>
      <c r="AI76" s="115" t="s">
        <v>4246</v>
      </c>
      <c r="AJ76" s="115">
        <v>-170000</v>
      </c>
      <c r="AK76" s="20">
        <v>3</v>
      </c>
      <c r="AL76" s="97">
        <f t="shared" si="20"/>
        <v>487</v>
      </c>
      <c r="AM76" s="115">
        <f t="shared" si="9"/>
        <v>-82790000</v>
      </c>
      <c r="AN76" s="20"/>
    </row>
    <row r="77" spans="1:40" ht="31.5">
      <c r="D77" s="1" t="s">
        <v>305</v>
      </c>
      <c r="E77" s="1">
        <v>70000</v>
      </c>
      <c r="G77" s="94"/>
      <c r="H77" s="94"/>
      <c r="K77" s="209" t="s">
        <v>4673</v>
      </c>
      <c r="L77" s="22" t="s">
        <v>4651</v>
      </c>
      <c r="M77" s="251" t="s">
        <v>4956</v>
      </c>
      <c r="N77" s="94"/>
      <c r="P77" s="113" t="s">
        <v>25</v>
      </c>
      <c r="Q77" s="167">
        <v>1200301</v>
      </c>
      <c r="R77" s="19" t="s">
        <v>4877</v>
      </c>
      <c r="S77" s="195">
        <f>S76-34</f>
        <v>445</v>
      </c>
      <c r="T77" s="187" t="s">
        <v>4879</v>
      </c>
      <c r="U77" s="210">
        <v>218.5</v>
      </c>
      <c r="V77" s="210">
        <f>U77*(1+$R$93+$Q$15*S77/36500)</f>
        <v>296.41051506849317</v>
      </c>
      <c r="W77" s="32">
        <f t="shared" si="21"/>
        <v>302.33872536986303</v>
      </c>
      <c r="X77" s="32">
        <f t="shared" si="22"/>
        <v>308.26693567123289</v>
      </c>
      <c r="Y77" t="s">
        <v>25</v>
      </c>
      <c r="Z77" s="120"/>
      <c r="AA77" t="s">
        <v>25</v>
      </c>
      <c r="AH77" s="20">
        <v>57</v>
      </c>
      <c r="AI77" s="115" t="s">
        <v>4260</v>
      </c>
      <c r="AJ77" s="115">
        <v>-300000</v>
      </c>
      <c r="AK77" s="20">
        <v>3</v>
      </c>
      <c r="AL77" s="97">
        <f t="shared" si="20"/>
        <v>484</v>
      </c>
      <c r="AM77" s="115">
        <f t="shared" si="9"/>
        <v>-145200000</v>
      </c>
      <c r="AN77" s="20"/>
    </row>
    <row r="78" spans="1:40">
      <c r="D78" s="1" t="s">
        <v>321</v>
      </c>
      <c r="E78" s="1">
        <v>100000</v>
      </c>
      <c r="G78" s="94"/>
      <c r="H78" s="94"/>
      <c r="K78" t="s">
        <v>4674</v>
      </c>
      <c r="M78" s="120"/>
      <c r="O78" t="s">
        <v>25</v>
      </c>
      <c r="P78" s="113"/>
      <c r="Q78" s="167">
        <v>5945617.8668850986</v>
      </c>
      <c r="R78" s="19" t="s">
        <v>4904</v>
      </c>
      <c r="S78" s="195">
        <f>S77-16</f>
        <v>429</v>
      </c>
      <c r="T78" s="187" t="s">
        <v>5723</v>
      </c>
      <c r="U78" s="210">
        <v>196.2</v>
      </c>
      <c r="V78" s="210">
        <f>U78*(1+$R$93+$Q$15*S78/36500)</f>
        <v>263.75085369863012</v>
      </c>
      <c r="W78" s="32">
        <f t="shared" si="21"/>
        <v>269.02587077260273</v>
      </c>
      <c r="X78" s="32">
        <f t="shared" si="22"/>
        <v>274.30088784657534</v>
      </c>
      <c r="Z78" s="120"/>
      <c r="AD78" s="113"/>
      <c r="AE78" s="113"/>
      <c r="AH78" s="20">
        <v>58</v>
      </c>
      <c r="AI78" s="115" t="s">
        <v>4269</v>
      </c>
      <c r="AJ78" s="115">
        <v>-11400000</v>
      </c>
      <c r="AK78" s="20">
        <v>13</v>
      </c>
      <c r="AL78" s="97">
        <f t="shared" ref="AL78:AL83" si="23">AL79+AK78</f>
        <v>481</v>
      </c>
      <c r="AM78" s="115">
        <f t="shared" si="9"/>
        <v>-5483400000</v>
      </c>
      <c r="AN78" s="20"/>
    </row>
    <row r="79" spans="1:40">
      <c r="D79" s="1" t="s">
        <v>306</v>
      </c>
      <c r="E79" s="1">
        <v>80000</v>
      </c>
      <c r="G79" s="94"/>
      <c r="H79" s="94"/>
      <c r="K79" t="s">
        <v>4530</v>
      </c>
      <c r="L79" s="94"/>
      <c r="M79" s="94"/>
      <c r="N79" s="111"/>
      <c r="P79" s="114"/>
      <c r="Q79" s="167">
        <v>6990657</v>
      </c>
      <c r="R79" s="19" t="s">
        <v>5399</v>
      </c>
      <c r="S79" s="195">
        <f>S78-286</f>
        <v>143</v>
      </c>
      <c r="T79" s="187" t="s">
        <v>5404</v>
      </c>
      <c r="U79" s="210">
        <v>7792.9</v>
      </c>
      <c r="V79" s="210">
        <f>U79*(1+$R$93+$Q$15*S79/36500)</f>
        <v>8766.2225347945205</v>
      </c>
      <c r="W79" s="32">
        <f t="shared" ref="W79:W88" si="24">V79*(1+$W$19/100)</f>
        <v>8941.5469854904113</v>
      </c>
      <c r="X79" s="32">
        <f t="shared" ref="X79:X88" si="25">V79*(1+$X$19/100)</f>
        <v>9116.8714361863022</v>
      </c>
      <c r="Z79" s="120"/>
      <c r="AC79" s="113"/>
      <c r="AD79" s="113"/>
      <c r="AE79" s="113"/>
      <c r="AF79"/>
      <c r="AH79" s="20">
        <v>59</v>
      </c>
      <c r="AI79" s="115" t="s">
        <v>4318</v>
      </c>
      <c r="AJ79" s="115">
        <v>-10000000</v>
      </c>
      <c r="AK79" s="20">
        <v>1</v>
      </c>
      <c r="AL79" s="97">
        <f t="shared" si="23"/>
        <v>468</v>
      </c>
      <c r="AM79" s="115">
        <f>AJ79*AL79</f>
        <v>-4680000000</v>
      </c>
      <c r="AN79" s="20"/>
    </row>
    <row r="80" spans="1:40">
      <c r="D80" s="31" t="s">
        <v>307</v>
      </c>
      <c r="E80" s="1">
        <v>150000</v>
      </c>
      <c r="G80" s="94"/>
      <c r="H80" s="94"/>
      <c r="J80" t="s">
        <v>25</v>
      </c>
      <c r="K80" t="s">
        <v>4734</v>
      </c>
      <c r="P80" s="113"/>
      <c r="Q80" s="167">
        <v>4411104</v>
      </c>
      <c r="R80" s="19" t="s">
        <v>5405</v>
      </c>
      <c r="S80" s="195">
        <f>S79-2</f>
        <v>141</v>
      </c>
      <c r="T80" s="187" t="s">
        <v>5408</v>
      </c>
      <c r="U80" s="210">
        <v>8086.9</v>
      </c>
      <c r="V80" s="210">
        <f>U80*(1+$R$93+$Q$15*S80/36500)</f>
        <v>9084.5354334246585</v>
      </c>
      <c r="W80" s="32">
        <f t="shared" si="24"/>
        <v>9266.2261420931518</v>
      </c>
      <c r="X80" s="32">
        <f t="shared" si="25"/>
        <v>9447.916850761645</v>
      </c>
      <c r="Z80" s="120"/>
      <c r="AC80" s="113"/>
      <c r="AD80" s="113"/>
      <c r="AE80" s="113"/>
      <c r="AF80"/>
      <c r="AH80" s="20">
        <v>60</v>
      </c>
      <c r="AI80" s="115" t="s">
        <v>4319</v>
      </c>
      <c r="AJ80" s="115">
        <v>-2450000</v>
      </c>
      <c r="AK80" s="20">
        <v>5</v>
      </c>
      <c r="AL80" s="97">
        <f t="shared" si="23"/>
        <v>467</v>
      </c>
      <c r="AM80" s="115">
        <f>AJ80*AL80</f>
        <v>-1144150000</v>
      </c>
      <c r="AN80" s="20"/>
    </row>
    <row r="81" spans="4:52">
      <c r="D81" s="31" t="s">
        <v>308</v>
      </c>
      <c r="E81" s="1">
        <v>300000</v>
      </c>
      <c r="G81" s="94"/>
      <c r="H81" s="94"/>
      <c r="K81" t="s">
        <v>4735</v>
      </c>
      <c r="N81" t="s">
        <v>25</v>
      </c>
      <c r="P81" s="113"/>
      <c r="Q81" s="167">
        <v>750391</v>
      </c>
      <c r="R81" s="19" t="s">
        <v>5482</v>
      </c>
      <c r="S81" s="195">
        <f>S80-50</f>
        <v>91</v>
      </c>
      <c r="T81" s="187" t="s">
        <v>5483</v>
      </c>
      <c r="U81" s="210">
        <v>9000</v>
      </c>
      <c r="V81" s="210">
        <f>U81*(1+$R$93+$Q$15*S81/36500)</f>
        <v>9765.0739726027405</v>
      </c>
      <c r="W81" s="32">
        <f t="shared" si="24"/>
        <v>9960.3754520547955</v>
      </c>
      <c r="X81" s="32">
        <f t="shared" si="25"/>
        <v>10155.67693150685</v>
      </c>
      <c r="Y81" t="s">
        <v>25</v>
      </c>
      <c r="Z81" s="120"/>
      <c r="AA81" t="s">
        <v>25</v>
      </c>
      <c r="AD81" s="113"/>
      <c r="AE81" s="113"/>
      <c r="AF81" s="113"/>
      <c r="AH81" s="20">
        <v>61</v>
      </c>
      <c r="AI81" s="115" t="s">
        <v>4343</v>
      </c>
      <c r="AJ81" s="115">
        <v>-456081</v>
      </c>
      <c r="AK81" s="20">
        <v>1</v>
      </c>
      <c r="AL81" s="97">
        <f t="shared" si="23"/>
        <v>462</v>
      </c>
      <c r="AM81" s="115">
        <f t="shared" si="9"/>
        <v>-210709422</v>
      </c>
      <c r="AN81" s="20"/>
    </row>
    <row r="82" spans="4:52" ht="26.25">
      <c r="D82" s="31" t="s">
        <v>309</v>
      </c>
      <c r="E82" s="1">
        <v>100000</v>
      </c>
      <c r="G82" s="94"/>
      <c r="H82" s="94"/>
      <c r="K82" t="s">
        <v>4736</v>
      </c>
      <c r="M82" s="248"/>
      <c r="Q82" s="167">
        <v>1386553</v>
      </c>
      <c r="R82" s="19" t="s">
        <v>5493</v>
      </c>
      <c r="S82" s="195">
        <f>S81-6</f>
        <v>85</v>
      </c>
      <c r="T82" s="187" t="s">
        <v>5565</v>
      </c>
      <c r="U82" s="210">
        <v>10699.9</v>
      </c>
      <c r="V82" s="210">
        <f>U82*(1+$R$93+$Q$15*S82/36500)</f>
        <v>11560.23058958904</v>
      </c>
      <c r="W82" s="32">
        <f t="shared" si="24"/>
        <v>11791.435201380822</v>
      </c>
      <c r="X82" s="32">
        <f t="shared" si="25"/>
        <v>12022.639813172602</v>
      </c>
      <c r="Y82" s="94" t="s">
        <v>25</v>
      </c>
      <c r="Z82" s="120"/>
      <c r="AA82" s="113"/>
      <c r="AB82" s="113"/>
      <c r="AC82" s="113"/>
      <c r="AD82" s="113"/>
      <c r="AE82" s="113"/>
      <c r="AF82" s="113"/>
      <c r="AH82" s="20">
        <v>62</v>
      </c>
      <c r="AI82" s="115" t="s">
        <v>4345</v>
      </c>
      <c r="AJ82" s="115">
        <v>-500000</v>
      </c>
      <c r="AK82" s="20">
        <v>2</v>
      </c>
      <c r="AL82" s="97">
        <f t="shared" si="23"/>
        <v>461</v>
      </c>
      <c r="AM82" s="115">
        <f t="shared" si="9"/>
        <v>-230500000</v>
      </c>
      <c r="AN82" s="20"/>
      <c r="AO82" t="s">
        <v>25</v>
      </c>
      <c r="AU82"/>
      <c r="AW82" t="s">
        <v>25</v>
      </c>
    </row>
    <row r="83" spans="4:52">
      <c r="D83" s="31" t="s">
        <v>310</v>
      </c>
      <c r="E83" s="1">
        <v>200000</v>
      </c>
      <c r="G83" s="94"/>
      <c r="H83" s="94"/>
      <c r="K83" t="s">
        <v>4492</v>
      </c>
      <c r="Q83" s="167">
        <v>372863</v>
      </c>
      <c r="R83" s="19" t="s">
        <v>5546</v>
      </c>
      <c r="S83" s="195">
        <f>S82-29</f>
        <v>56</v>
      </c>
      <c r="T83" s="187" t="s">
        <v>5568</v>
      </c>
      <c r="U83" s="210">
        <v>6511.9</v>
      </c>
      <c r="V83" s="210">
        <f>U83*(1+$R$93+$Q$15*S83/36500)</f>
        <v>6890.6249676712332</v>
      </c>
      <c r="W83" s="32">
        <f t="shared" si="24"/>
        <v>7028.437467024658</v>
      </c>
      <c r="X83" s="32">
        <f t="shared" si="25"/>
        <v>7166.2499663780827</v>
      </c>
      <c r="Y83" s="94" t="s">
        <v>25</v>
      </c>
      <c r="AA83" s="113"/>
      <c r="AB83" s="113"/>
      <c r="AC83" s="126"/>
      <c r="AD83" s="113"/>
      <c r="AE83" s="113"/>
      <c r="AF83" s="113"/>
      <c r="AH83" s="20">
        <v>63</v>
      </c>
      <c r="AI83" s="115" t="s">
        <v>4361</v>
      </c>
      <c r="AJ83" s="115">
        <v>-6234370</v>
      </c>
      <c r="AK83" s="20">
        <v>3</v>
      </c>
      <c r="AL83" s="97">
        <f t="shared" si="23"/>
        <v>459</v>
      </c>
      <c r="AM83" s="115">
        <f t="shared" si="9"/>
        <v>-2861575830</v>
      </c>
      <c r="AN83" s="20"/>
      <c r="AU83"/>
    </row>
    <row r="84" spans="4:52">
      <c r="D84" s="18" t="s">
        <v>311</v>
      </c>
      <c r="E84" s="18">
        <v>300000</v>
      </c>
      <c r="G84" s="94"/>
      <c r="H84" s="94"/>
      <c r="K84" t="s">
        <v>4533</v>
      </c>
      <c r="M84" s="253" t="s">
        <v>4961</v>
      </c>
      <c r="Q84" s="167">
        <v>5621614</v>
      </c>
      <c r="R84" s="19" t="s">
        <v>5654</v>
      </c>
      <c r="S84" s="195">
        <f>S83-48</f>
        <v>8</v>
      </c>
      <c r="T84" s="187" t="s">
        <v>5656</v>
      </c>
      <c r="U84" s="210">
        <v>18288.3</v>
      </c>
      <c r="V84" s="210">
        <f>U84*(1+$R$93+$Q$15*S84/36500)</f>
        <v>18678.517206575343</v>
      </c>
      <c r="W84" s="32">
        <f t="shared" si="24"/>
        <v>19052.087550706849</v>
      </c>
      <c r="X84" s="32">
        <f t="shared" si="25"/>
        <v>19425.657894838358</v>
      </c>
      <c r="Y84" s="94" t="s">
        <v>25</v>
      </c>
      <c r="AA84" s="113"/>
      <c r="AB84" s="113"/>
      <c r="AC84" s="126"/>
      <c r="AD84" s="113"/>
      <c r="AE84" s="113"/>
      <c r="AF84" s="113"/>
      <c r="AH84" s="20">
        <v>64</v>
      </c>
      <c r="AI84" s="115" t="s">
        <v>4370</v>
      </c>
      <c r="AJ84" s="115">
        <v>1950957</v>
      </c>
      <c r="AK84" s="20">
        <v>4</v>
      </c>
      <c r="AL84" s="97">
        <f t="shared" si="20"/>
        <v>456</v>
      </c>
      <c r="AM84" s="115">
        <f t="shared" si="9"/>
        <v>889636392</v>
      </c>
      <c r="AN84" s="20"/>
      <c r="AZ84" t="s">
        <v>25</v>
      </c>
    </row>
    <row r="85" spans="4:52">
      <c r="D85" s="32" t="s">
        <v>312</v>
      </c>
      <c r="E85" s="1">
        <v>200000</v>
      </c>
      <c r="G85" s="94"/>
      <c r="H85" s="94"/>
      <c r="K85" t="s">
        <v>4491</v>
      </c>
      <c r="M85" s="253" t="s">
        <v>4962</v>
      </c>
      <c r="Q85" s="167">
        <v>10001487</v>
      </c>
      <c r="R85" s="19" t="s">
        <v>5720</v>
      </c>
      <c r="S85" s="195">
        <f>S84-21</f>
        <v>-13</v>
      </c>
      <c r="T85" s="187" t="s">
        <v>5721</v>
      </c>
      <c r="U85" s="210">
        <v>15330</v>
      </c>
      <c r="V85" s="210">
        <f>U85*(1+$R$93+$Q$15*S85/36500)</f>
        <v>15410.136000000002</v>
      </c>
      <c r="W85" s="32">
        <f t="shared" si="24"/>
        <v>15718.338720000003</v>
      </c>
      <c r="X85" s="32">
        <f t="shared" si="25"/>
        <v>16026.541440000003</v>
      </c>
      <c r="Y85" s="94" t="s">
        <v>25</v>
      </c>
      <c r="AA85" s="113"/>
      <c r="AB85" s="113"/>
      <c r="AC85" s="126"/>
      <c r="AD85" s="113"/>
      <c r="AE85" s="113"/>
      <c r="AF85" s="113"/>
      <c r="AH85" s="20">
        <v>65</v>
      </c>
      <c r="AI85" s="115" t="s">
        <v>4393</v>
      </c>
      <c r="AJ85" s="115">
        <v>600000</v>
      </c>
      <c r="AK85" s="20">
        <v>5</v>
      </c>
      <c r="AL85" s="97">
        <f t="shared" si="20"/>
        <v>452</v>
      </c>
      <c r="AM85" s="115">
        <f t="shared" si="9"/>
        <v>271200000</v>
      </c>
      <c r="AN85" s="20"/>
    </row>
    <row r="86" spans="4:52">
      <c r="D86" s="32" t="s">
        <v>313</v>
      </c>
      <c r="E86" s="1">
        <v>20000</v>
      </c>
      <c r="G86" s="94"/>
      <c r="H86" s="94"/>
      <c r="K86" s="22" t="s">
        <v>4221</v>
      </c>
      <c r="Q86" s="167">
        <v>35631257</v>
      </c>
      <c r="R86" s="19" t="s">
        <v>5720</v>
      </c>
      <c r="S86" s="195">
        <f>S85</f>
        <v>-13</v>
      </c>
      <c r="T86" s="187" t="s">
        <v>5722</v>
      </c>
      <c r="U86" s="210">
        <v>18610</v>
      </c>
      <c r="V86" s="210">
        <f>U86*(1+$R$93+$Q$15*S86/36500)</f>
        <v>18707.281863013701</v>
      </c>
      <c r="W86" s="32">
        <f t="shared" si="24"/>
        <v>19081.427500273974</v>
      </c>
      <c r="X86" s="32">
        <f t="shared" si="25"/>
        <v>19455.573137534251</v>
      </c>
      <c r="Y86" s="94" t="s">
        <v>25</v>
      </c>
      <c r="AA86" s="120" t="s">
        <v>25</v>
      </c>
      <c r="AB86" s="113"/>
      <c r="AC86" s="126"/>
      <c r="AD86" s="113"/>
      <c r="AE86" s="113"/>
      <c r="AF86" s="113"/>
      <c r="AH86" s="20">
        <v>66</v>
      </c>
      <c r="AI86" s="115" t="s">
        <v>4401</v>
      </c>
      <c r="AJ86" s="115">
        <v>7500000</v>
      </c>
      <c r="AK86" s="20">
        <v>2</v>
      </c>
      <c r="AL86" s="97">
        <f t="shared" si="20"/>
        <v>447</v>
      </c>
      <c r="AM86" s="115">
        <f t="shared" si="9"/>
        <v>3352500000</v>
      </c>
      <c r="AN86" s="20"/>
      <c r="AS86" s="94"/>
    </row>
    <row r="87" spans="4:52">
      <c r="D87" s="32" t="s">
        <v>315</v>
      </c>
      <c r="E87" s="1">
        <v>50000</v>
      </c>
      <c r="G87" s="94"/>
      <c r="H87" s="94"/>
      <c r="K87" t="s">
        <v>4488</v>
      </c>
      <c r="Q87" s="167"/>
      <c r="R87" s="19"/>
      <c r="S87" s="195"/>
      <c r="T87" s="187"/>
      <c r="U87" s="210"/>
      <c r="V87" s="210"/>
      <c r="W87" s="32"/>
      <c r="X87" s="32"/>
      <c r="Y87" s="120" t="s">
        <v>25</v>
      </c>
      <c r="AA87" s="113" t="s">
        <v>25</v>
      </c>
      <c r="AB87" s="113"/>
      <c r="AC87" s="126"/>
      <c r="AD87" s="113"/>
      <c r="AE87" s="113"/>
      <c r="AF87" s="113"/>
      <c r="AH87" s="20">
        <v>67</v>
      </c>
      <c r="AI87" s="115" t="s">
        <v>4405</v>
      </c>
      <c r="AJ87" s="115">
        <v>-587816</v>
      </c>
      <c r="AK87" s="20">
        <v>3</v>
      </c>
      <c r="AL87" s="97">
        <f t="shared" si="20"/>
        <v>445</v>
      </c>
      <c r="AM87" s="115">
        <f t="shared" si="9"/>
        <v>-261578120</v>
      </c>
      <c r="AN87" s="20"/>
      <c r="AS87" s="94"/>
    </row>
    <row r="88" spans="4:52">
      <c r="D88" s="32" t="s">
        <v>316</v>
      </c>
      <c r="E88" s="1">
        <v>90000</v>
      </c>
      <c r="G88" s="94"/>
      <c r="H88" s="94"/>
      <c r="K88" t="s">
        <v>4273</v>
      </c>
      <c r="Q88" s="167"/>
      <c r="R88" s="166"/>
      <c r="S88" s="111"/>
      <c r="T88" s="111"/>
      <c r="U88" s="166" t="s">
        <v>25</v>
      </c>
      <c r="V88" s="210" t="e">
        <f>U88*(1+$R$93+$Q$15*S88/36500)</f>
        <v>#VALUE!</v>
      </c>
      <c r="W88" s="32" t="e">
        <f t="shared" si="24"/>
        <v>#VALUE!</v>
      </c>
      <c r="X88" s="32" t="e">
        <f t="shared" si="25"/>
        <v>#VALUE!</v>
      </c>
      <c r="Z88" s="113"/>
      <c r="AA88" s="113"/>
      <c r="AB88" s="113"/>
      <c r="AC88" s="126"/>
      <c r="AD88" s="113"/>
      <c r="AE88" s="113"/>
      <c r="AF88" s="113"/>
      <c r="AH88" s="20">
        <v>68</v>
      </c>
      <c r="AI88" s="115" t="s">
        <v>4404</v>
      </c>
      <c r="AJ88" s="115">
        <v>-907489</v>
      </c>
      <c r="AK88" s="20">
        <v>0</v>
      </c>
      <c r="AL88" s="97">
        <f>AL89+AK88</f>
        <v>442</v>
      </c>
      <c r="AM88" s="115">
        <f t="shared" si="9"/>
        <v>-401110138</v>
      </c>
      <c r="AN88" s="20"/>
      <c r="AP88" t="s">
        <v>25</v>
      </c>
      <c r="AV88" t="s">
        <v>25</v>
      </c>
    </row>
    <row r="89" spans="4:52">
      <c r="D89" s="32" t="s">
        <v>317</v>
      </c>
      <c r="E89" s="1">
        <v>50000</v>
      </c>
      <c r="K89" t="s">
        <v>25</v>
      </c>
      <c r="M89" s="191"/>
      <c r="Q89" s="111">
        <f>SUM(N28:N31)-SUM(Q70:Q88)</f>
        <v>358473649.33311486</v>
      </c>
      <c r="R89" s="166"/>
      <c r="S89" s="166"/>
      <c r="T89" s="166"/>
      <c r="U89" s="166"/>
      <c r="V89" s="166"/>
      <c r="W89" s="32"/>
      <c r="X89" s="32"/>
      <c r="Z89" s="113"/>
      <c r="AA89" s="113"/>
      <c r="AB89" s="113"/>
      <c r="AC89" s="113"/>
      <c r="AD89" s="113"/>
      <c r="AE89" s="113"/>
      <c r="AF89" s="113"/>
      <c r="AG89" s="113"/>
      <c r="AH89" s="20">
        <v>69</v>
      </c>
      <c r="AI89" s="115" t="s">
        <v>4404</v>
      </c>
      <c r="AJ89" s="115">
        <v>2450000</v>
      </c>
      <c r="AK89" s="20">
        <v>1</v>
      </c>
      <c r="AL89" s="97">
        <f t="shared" si="20"/>
        <v>442</v>
      </c>
      <c r="AM89" s="115">
        <f t="shared" si="9"/>
        <v>1082900000</v>
      </c>
      <c r="AN89" s="20" t="s">
        <v>4436</v>
      </c>
      <c r="AQ89" t="s">
        <v>25</v>
      </c>
      <c r="AR89" t="s">
        <v>25</v>
      </c>
    </row>
    <row r="90" spans="4:52">
      <c r="D90" s="32" t="s">
        <v>327</v>
      </c>
      <c r="E90" s="1">
        <v>150000</v>
      </c>
      <c r="F90" s="94"/>
      <c r="G90" s="94"/>
      <c r="H90" s="94"/>
      <c r="I90" s="94"/>
      <c r="J90" s="94" t="s">
        <v>25</v>
      </c>
      <c r="K90" s="94"/>
      <c r="R90" s="113"/>
      <c r="S90" s="113"/>
      <c r="T90" s="113" t="s">
        <v>25</v>
      </c>
      <c r="U90" s="113" t="s">
        <v>25</v>
      </c>
      <c r="V90" s="113" t="s">
        <v>25</v>
      </c>
      <c r="W90" s="192" t="s">
        <v>25</v>
      </c>
      <c r="X90" s="192"/>
      <c r="Z90" s="113"/>
      <c r="AA90" s="113"/>
      <c r="AB90" s="113"/>
      <c r="AC90" s="113"/>
      <c r="AD90" s="113"/>
      <c r="AE90"/>
      <c r="AG90" s="113"/>
      <c r="AH90" s="20">
        <v>70</v>
      </c>
      <c r="AI90" s="115" t="s">
        <v>4438</v>
      </c>
      <c r="AJ90" s="115">
        <v>1500000</v>
      </c>
      <c r="AK90" s="20">
        <v>1</v>
      </c>
      <c r="AL90" s="97">
        <f t="shared" si="20"/>
        <v>441</v>
      </c>
      <c r="AM90" s="115">
        <f t="shared" si="9"/>
        <v>661500000</v>
      </c>
      <c r="AN90" s="20"/>
      <c r="AP90" t="s">
        <v>25</v>
      </c>
      <c r="AU90" s="94" t="s">
        <v>25</v>
      </c>
    </row>
    <row r="91" spans="4:52">
      <c r="D91" s="32" t="s">
        <v>318</v>
      </c>
      <c r="E91" s="1">
        <v>15000</v>
      </c>
      <c r="F91" s="94"/>
      <c r="G91" s="94"/>
      <c r="H91" s="94"/>
      <c r="I91" s="94"/>
      <c r="J91" s="94"/>
      <c r="K91" s="94"/>
      <c r="Q91" s="97" t="s">
        <v>934</v>
      </c>
      <c r="R91" s="97">
        <v>1.03E-2</v>
      </c>
      <c r="S91" s="26" t="s">
        <v>25</v>
      </c>
      <c r="T91" t="s">
        <v>25</v>
      </c>
      <c r="U91" s="94" t="s">
        <v>25</v>
      </c>
      <c r="V91" s="113" t="s">
        <v>25</v>
      </c>
      <c r="W91" s="192" t="s">
        <v>25</v>
      </c>
      <c r="X91" s="192"/>
      <c r="Z91" s="113"/>
      <c r="AA91" s="113"/>
      <c r="AE91"/>
      <c r="AG91" s="94"/>
      <c r="AH91" s="20">
        <v>71</v>
      </c>
      <c r="AI91" s="115" t="s">
        <v>4444</v>
      </c>
      <c r="AJ91" s="115">
        <v>2648000</v>
      </c>
      <c r="AK91" s="20">
        <v>1</v>
      </c>
      <c r="AL91" s="97">
        <f t="shared" si="20"/>
        <v>440</v>
      </c>
      <c r="AM91" s="115">
        <f t="shared" si="9"/>
        <v>1165120000</v>
      </c>
      <c r="AN91" s="20" t="s">
        <v>4445</v>
      </c>
      <c r="AU91" s="94" t="s">
        <v>25</v>
      </c>
    </row>
    <row r="92" spans="4:52">
      <c r="D92" s="32" t="s">
        <v>319</v>
      </c>
      <c r="E92" s="1">
        <v>20000</v>
      </c>
      <c r="F92" s="94"/>
      <c r="G92" s="94"/>
      <c r="H92" s="94"/>
      <c r="I92" s="94"/>
      <c r="J92" s="94"/>
      <c r="K92" s="94"/>
      <c r="Q92" s="97" t="s">
        <v>61</v>
      </c>
      <c r="R92" s="97">
        <v>4.8999999999999998E-3</v>
      </c>
      <c r="T92" s="112" t="s">
        <v>25</v>
      </c>
      <c r="U92" s="94" t="s">
        <v>25</v>
      </c>
      <c r="V92" t="s">
        <v>25</v>
      </c>
      <c r="W92" s="192" t="s">
        <v>25</v>
      </c>
      <c r="X92" s="192" t="s">
        <v>25</v>
      </c>
      <c r="Z92" s="113"/>
      <c r="AA92" s="113"/>
      <c r="AE92"/>
      <c r="AG92" s="94"/>
      <c r="AH92" s="20">
        <v>72</v>
      </c>
      <c r="AI92" s="115" t="s">
        <v>4210</v>
      </c>
      <c r="AJ92" s="115">
        <v>615000</v>
      </c>
      <c r="AK92" s="20">
        <v>4</v>
      </c>
      <c r="AL92" s="97">
        <f t="shared" si="20"/>
        <v>439</v>
      </c>
      <c r="AM92" s="115">
        <f t="shared" si="9"/>
        <v>269985000</v>
      </c>
      <c r="AN92" s="20"/>
      <c r="AV92" t="s">
        <v>25</v>
      </c>
    </row>
    <row r="93" spans="4:52">
      <c r="D93" s="32" t="s">
        <v>320</v>
      </c>
      <c r="E93" s="1">
        <v>40000</v>
      </c>
      <c r="F93" s="94"/>
      <c r="G93" s="94"/>
      <c r="H93" s="94"/>
      <c r="I93" s="94"/>
      <c r="J93" s="94"/>
      <c r="K93" s="94"/>
      <c r="M93" s="94"/>
      <c r="N93" s="94"/>
      <c r="Q93" s="97" t="s">
        <v>6</v>
      </c>
      <c r="R93" s="97">
        <f>R91+R92</f>
        <v>1.52E-2</v>
      </c>
      <c r="T93" t="s">
        <v>25</v>
      </c>
      <c r="U93" s="94" t="s">
        <v>25</v>
      </c>
      <c r="V93" t="s">
        <v>25</v>
      </c>
      <c r="W93" s="192"/>
      <c r="X93" s="192"/>
      <c r="Z93" s="113"/>
      <c r="AA93" s="113"/>
      <c r="AE93"/>
      <c r="AG93" s="94"/>
      <c r="AH93" s="20">
        <v>73</v>
      </c>
      <c r="AI93" s="115" t="s">
        <v>4455</v>
      </c>
      <c r="AJ93" s="115">
        <v>14000000</v>
      </c>
      <c r="AK93" s="20">
        <v>2</v>
      </c>
      <c r="AL93" s="97">
        <f>AL94+AK93</f>
        <v>435</v>
      </c>
      <c r="AM93" s="115">
        <f t="shared" si="9"/>
        <v>6090000000</v>
      </c>
      <c r="AN93" s="20"/>
    </row>
    <row r="94" spans="4:52">
      <c r="D94" s="32" t="s">
        <v>322</v>
      </c>
      <c r="E94" s="1">
        <v>150000</v>
      </c>
      <c r="F94" s="94"/>
      <c r="G94" s="94"/>
      <c r="H94" s="94"/>
      <c r="I94" s="94"/>
      <c r="J94" s="94"/>
      <c r="K94" s="94"/>
      <c r="L94" s="94"/>
      <c r="M94" s="94"/>
      <c r="N94" s="94"/>
      <c r="W94" s="192"/>
      <c r="X94" s="192"/>
      <c r="AH94" s="20">
        <v>74</v>
      </c>
      <c r="AI94" s="115" t="s">
        <v>4459</v>
      </c>
      <c r="AJ94" s="115">
        <v>1313000</v>
      </c>
      <c r="AK94" s="20">
        <v>0</v>
      </c>
      <c r="AL94" s="97">
        <f>AL95+AK94</f>
        <v>433</v>
      </c>
      <c r="AM94" s="115">
        <f t="shared" si="9"/>
        <v>568529000</v>
      </c>
      <c r="AN94" s="20"/>
      <c r="AQ94" t="s">
        <v>25</v>
      </c>
    </row>
    <row r="95" spans="4:52" ht="30">
      <c r="D95" s="32" t="s">
        <v>324</v>
      </c>
      <c r="E95" s="1">
        <v>75000</v>
      </c>
      <c r="F95" s="94"/>
      <c r="G95" s="94"/>
      <c r="H95" s="94"/>
      <c r="I95" s="94"/>
      <c r="J95" s="94"/>
      <c r="K95" s="94"/>
      <c r="L95" s="94"/>
      <c r="Q95" s="71" t="s">
        <v>4272</v>
      </c>
      <c r="R95" s="110"/>
      <c r="S95" s="110"/>
      <c r="T95" s="110"/>
      <c r="U95" s="166" t="s">
        <v>4334</v>
      </c>
      <c r="V95" s="36" t="s">
        <v>4336</v>
      </c>
      <c r="W95" s="32"/>
      <c r="X95" s="32"/>
      <c r="AH95" s="97">
        <v>75</v>
      </c>
      <c r="AI95" s="111" t="s">
        <v>4459</v>
      </c>
      <c r="AJ95" s="111">
        <v>2269000</v>
      </c>
      <c r="AK95" s="97">
        <v>1</v>
      </c>
      <c r="AL95" s="97">
        <f t="shared" ref="AL95:AL120" si="26">AL96+AK95</f>
        <v>433</v>
      </c>
      <c r="AM95" s="115">
        <f t="shared" si="9"/>
        <v>982477000</v>
      </c>
      <c r="AN95" s="97"/>
    </row>
    <row r="96" spans="4:52">
      <c r="D96" s="32" t="s">
        <v>314</v>
      </c>
      <c r="E96" s="1">
        <v>140000</v>
      </c>
      <c r="F96" s="94"/>
      <c r="G96" s="94"/>
      <c r="H96" s="94"/>
      <c r="I96" s="94"/>
      <c r="J96" s="94"/>
      <c r="K96" s="94"/>
      <c r="P96" t="s">
        <v>25</v>
      </c>
      <c r="Q96" s="110" t="s">
        <v>267</v>
      </c>
      <c r="R96" s="110" t="s">
        <v>180</v>
      </c>
      <c r="S96" s="110" t="s">
        <v>183</v>
      </c>
      <c r="T96" s="110" t="s">
        <v>8</v>
      </c>
      <c r="U96" s="166"/>
      <c r="V96" s="97"/>
      <c r="W96" s="32">
        <v>2</v>
      </c>
      <c r="X96" s="32">
        <v>4</v>
      </c>
      <c r="Y96" s="94"/>
      <c r="AH96" s="97">
        <v>76</v>
      </c>
      <c r="AI96" s="111" t="s">
        <v>4211</v>
      </c>
      <c r="AJ96" s="111">
        <v>750000</v>
      </c>
      <c r="AK96" s="97">
        <v>4</v>
      </c>
      <c r="AL96" s="97">
        <f t="shared" si="26"/>
        <v>432</v>
      </c>
      <c r="AM96" s="115">
        <f t="shared" si="9"/>
        <v>324000000</v>
      </c>
      <c r="AN96" s="97"/>
      <c r="AQ96" t="s">
        <v>25</v>
      </c>
    </row>
    <row r="97" spans="4:47">
      <c r="D97" s="2" t="s">
        <v>477</v>
      </c>
      <c r="E97" s="3">
        <v>1083333</v>
      </c>
      <c r="F97" s="94"/>
      <c r="G97" s="94"/>
      <c r="H97" s="94"/>
      <c r="I97" s="94"/>
      <c r="J97" s="94"/>
      <c r="K97" s="94" t="s">
        <v>25</v>
      </c>
      <c r="P97" s="113"/>
      <c r="Q97" s="35">
        <v>45784988.273787044</v>
      </c>
      <c r="R97" s="5" t="s">
        <v>4154</v>
      </c>
      <c r="S97" s="5">
        <v>669</v>
      </c>
      <c r="T97" s="5" t="s">
        <v>5691</v>
      </c>
      <c r="U97" s="166">
        <v>192</v>
      </c>
      <c r="V97" s="97">
        <f>U97*(1+$R$93+$Q$15*S97/36500)</f>
        <v>293.45385205479454</v>
      </c>
      <c r="W97" s="32">
        <f t="shared" ref="W97" si="27">V97*(1+$W$19/100)</f>
        <v>299.32292909589046</v>
      </c>
      <c r="X97" s="32">
        <f t="shared" ref="X97" si="28">V97*(1+$X$19/100)</f>
        <v>305.19200613698632</v>
      </c>
      <c r="Y97" s="94"/>
      <c r="AH97" s="97">
        <v>77</v>
      </c>
      <c r="AI97" s="111" t="s">
        <v>4466</v>
      </c>
      <c r="AJ97" s="111">
        <v>1900000</v>
      </c>
      <c r="AK97" s="97">
        <v>3</v>
      </c>
      <c r="AL97" s="97">
        <f t="shared" si="26"/>
        <v>428</v>
      </c>
      <c r="AM97" s="115">
        <f t="shared" si="9"/>
        <v>813200000</v>
      </c>
      <c r="AN97" s="97"/>
    </row>
    <row r="98" spans="4:47">
      <c r="D98" s="2"/>
      <c r="E98" s="3"/>
      <c r="F98" s="94"/>
      <c r="G98" s="94"/>
      <c r="H98" s="94"/>
      <c r="I98" s="94"/>
      <c r="J98" s="94"/>
      <c r="K98" s="94" t="s">
        <v>25</v>
      </c>
      <c r="L98" t="s">
        <v>25</v>
      </c>
      <c r="P98" s="126"/>
      <c r="Q98" s="167">
        <v>7032.8</v>
      </c>
      <c r="R98" s="210" t="s">
        <v>5273</v>
      </c>
      <c r="S98" s="210">
        <f>S97-480</f>
        <v>189</v>
      </c>
      <c r="T98" s="210" t="s">
        <v>5280</v>
      </c>
      <c r="U98" s="210">
        <v>7001.1</v>
      </c>
      <c r="V98" s="97">
        <f>U98*(1+$R$93+$Q$15*S98/36500)</f>
        <v>8122.58031452055</v>
      </c>
      <c r="W98" s="32">
        <f t="shared" ref="W98:W105" si="29">V98*(1+$W$19/100)</f>
        <v>8285.0319208109613</v>
      </c>
      <c r="X98" s="32">
        <f t="shared" ref="X98:X105" si="30">V98*(1+$X$19/100)</f>
        <v>8447.4835271013726</v>
      </c>
      <c r="Y98" s="94"/>
      <c r="AH98" s="97">
        <v>78</v>
      </c>
      <c r="AI98" s="111" t="s">
        <v>4479</v>
      </c>
      <c r="AJ98" s="111">
        <v>6400000</v>
      </c>
      <c r="AK98" s="97">
        <v>1</v>
      </c>
      <c r="AL98" s="97">
        <f t="shared" si="26"/>
        <v>425</v>
      </c>
      <c r="AM98" s="115">
        <f t="shared" si="9"/>
        <v>2720000000</v>
      </c>
      <c r="AN98" s="97"/>
    </row>
    <row r="99" spans="4:47">
      <c r="D99" s="2"/>
      <c r="E99" s="3"/>
      <c r="F99" s="94"/>
      <c r="G99" s="94"/>
      <c r="H99" s="94"/>
      <c r="I99" s="94" t="s">
        <v>25</v>
      </c>
      <c r="J99" s="94" t="s">
        <v>25</v>
      </c>
      <c r="K99" s="94" t="s">
        <v>25</v>
      </c>
      <c r="P99" s="126"/>
      <c r="Q99" s="167">
        <v>4038752</v>
      </c>
      <c r="R99" s="210" t="s">
        <v>5285</v>
      </c>
      <c r="S99" s="210">
        <f>S98-6</f>
        <v>183</v>
      </c>
      <c r="T99" s="210" t="s">
        <v>5286</v>
      </c>
      <c r="U99" s="210">
        <v>7310</v>
      </c>
      <c r="V99" s="97">
        <f>U99*(1+$R$93+$Q$15*S99/36500)</f>
        <v>8447.3158356164386</v>
      </c>
      <c r="W99" s="32">
        <f t="shared" si="29"/>
        <v>8616.2621523287671</v>
      </c>
      <c r="X99" s="32">
        <f t="shared" si="30"/>
        <v>8785.2084690410957</v>
      </c>
      <c r="Y99" s="94"/>
      <c r="AH99" s="97">
        <v>79</v>
      </c>
      <c r="AI99" s="111" t="s">
        <v>4477</v>
      </c>
      <c r="AJ99" s="111">
        <v>5000</v>
      </c>
      <c r="AK99" s="97">
        <v>5</v>
      </c>
      <c r="AL99" s="97">
        <f t="shared" si="26"/>
        <v>424</v>
      </c>
      <c r="AM99" s="115">
        <f t="shared" si="9"/>
        <v>2120000</v>
      </c>
      <c r="AN99" s="97"/>
      <c r="AP99" t="s">
        <v>25</v>
      </c>
    </row>
    <row r="100" spans="4:47">
      <c r="D100" s="2" t="s">
        <v>6</v>
      </c>
      <c r="E100" s="3">
        <f>SUM(E77:E98)</f>
        <v>3383333</v>
      </c>
      <c r="F100" s="94"/>
      <c r="G100" s="94"/>
      <c r="H100" s="94"/>
      <c r="I100" s="94"/>
      <c r="J100" s="94" t="s">
        <v>25</v>
      </c>
      <c r="K100" s="94" t="s">
        <v>25</v>
      </c>
      <c r="M100" s="94"/>
      <c r="N100" s="94"/>
      <c r="P100" s="113"/>
      <c r="Q100" s="167">
        <v>632415</v>
      </c>
      <c r="R100" s="210" t="s">
        <v>5293</v>
      </c>
      <c r="S100" s="210">
        <f>S99-5</f>
        <v>178</v>
      </c>
      <c r="T100" s="210" t="s">
        <v>5295</v>
      </c>
      <c r="U100" s="210">
        <v>7236.3</v>
      </c>
      <c r="V100" s="97">
        <f>U100*(1+$R$93+$Q$15*S100/36500)</f>
        <v>8334.3936558904115</v>
      </c>
      <c r="W100" s="32">
        <f t="shared" si="29"/>
        <v>8501.0815290082191</v>
      </c>
      <c r="X100" s="32">
        <f t="shared" si="30"/>
        <v>8667.7694021260286</v>
      </c>
      <c r="Y100" s="94"/>
      <c r="AH100" s="97">
        <v>80</v>
      </c>
      <c r="AI100" s="111" t="s">
        <v>4508</v>
      </c>
      <c r="AJ100" s="111">
        <v>-1750148</v>
      </c>
      <c r="AK100" s="97">
        <v>1</v>
      </c>
      <c r="AL100" s="97">
        <f t="shared" si="26"/>
        <v>419</v>
      </c>
      <c r="AM100" s="115">
        <f t="shared" si="9"/>
        <v>-733312012</v>
      </c>
      <c r="AN100" s="97"/>
    </row>
    <row r="101" spans="4:47">
      <c r="D101" s="2" t="s">
        <v>328</v>
      </c>
      <c r="E101" s="3">
        <f>E100/30</f>
        <v>112777.76666666666</v>
      </c>
      <c r="F101" s="94"/>
      <c r="G101" s="94"/>
      <c r="H101" s="94"/>
      <c r="I101" s="94"/>
      <c r="J101" s="94" t="s">
        <v>25</v>
      </c>
      <c r="K101" s="94" t="s">
        <v>25</v>
      </c>
      <c r="L101" s="94"/>
      <c r="M101" s="94"/>
      <c r="N101" s="94"/>
      <c r="Q101" s="167">
        <v>6417109</v>
      </c>
      <c r="R101" s="210" t="s">
        <v>5296</v>
      </c>
      <c r="S101" s="210">
        <f>S100-1</f>
        <v>177</v>
      </c>
      <c r="T101" s="210" t="s">
        <v>5297</v>
      </c>
      <c r="U101" s="210">
        <v>7097.9</v>
      </c>
      <c r="V101" s="97">
        <f>U101*(1+$R$93+$Q$15*S101/36500)</f>
        <v>8169.5467758904115</v>
      </c>
      <c r="W101" s="32">
        <f t="shared" si="29"/>
        <v>8332.9377114082199</v>
      </c>
      <c r="X101" s="32">
        <f t="shared" si="30"/>
        <v>8496.3286469260274</v>
      </c>
      <c r="Y101" s="94"/>
      <c r="AH101" s="97">
        <v>81</v>
      </c>
      <c r="AI101" s="111" t="s">
        <v>4511</v>
      </c>
      <c r="AJ101" s="111">
        <v>400000</v>
      </c>
      <c r="AK101" s="97">
        <v>0</v>
      </c>
      <c r="AL101" s="97">
        <f t="shared" si="26"/>
        <v>418</v>
      </c>
      <c r="AM101" s="115">
        <f t="shared" si="9"/>
        <v>167200000</v>
      </c>
      <c r="AN101" s="97"/>
    </row>
    <row r="102" spans="4:47">
      <c r="F102" s="94"/>
      <c r="G102" s="94"/>
      <c r="H102" s="94"/>
      <c r="I102" s="94"/>
      <c r="J102" s="94" t="s">
        <v>25</v>
      </c>
      <c r="K102" s="94"/>
      <c r="L102" s="94"/>
      <c r="M102" s="94"/>
      <c r="N102" s="94"/>
      <c r="Q102" s="167">
        <v>7802773</v>
      </c>
      <c r="R102" s="210" t="s">
        <v>5300</v>
      </c>
      <c r="S102" s="210">
        <f>S101-1</f>
        <v>176</v>
      </c>
      <c r="T102" s="210" t="s">
        <v>5302</v>
      </c>
      <c r="U102" s="210">
        <v>7100.1</v>
      </c>
      <c r="V102" s="97">
        <f>U102*(1+$R$93+$Q$15*S102/36500)</f>
        <v>8166.632281643836</v>
      </c>
      <c r="W102" s="32">
        <f t="shared" si="29"/>
        <v>8329.9649272767128</v>
      </c>
      <c r="X102" s="32">
        <f t="shared" si="30"/>
        <v>8493.2975729095906</v>
      </c>
      <c r="Y102" s="94"/>
      <c r="AH102" s="97">
        <v>82</v>
      </c>
      <c r="AI102" s="111" t="s">
        <v>4511</v>
      </c>
      <c r="AJ102" s="111">
        <v>-2105421</v>
      </c>
      <c r="AK102" s="97">
        <v>1</v>
      </c>
      <c r="AL102" s="97">
        <f t="shared" si="26"/>
        <v>418</v>
      </c>
      <c r="AM102" s="115">
        <f t="shared" si="9"/>
        <v>-880065978</v>
      </c>
      <c r="AN102" s="97"/>
      <c r="AO102" t="s">
        <v>25</v>
      </c>
    </row>
    <row r="103" spans="4:47">
      <c r="F103" s="94"/>
      <c r="G103" s="94"/>
      <c r="H103" s="94"/>
      <c r="I103" s="94"/>
      <c r="J103" s="94" t="s">
        <v>25</v>
      </c>
      <c r="K103" t="s">
        <v>25</v>
      </c>
      <c r="L103" s="94"/>
      <c r="M103" s="94"/>
      <c r="N103" s="94"/>
      <c r="Q103" s="167">
        <v>497886</v>
      </c>
      <c r="R103" s="210" t="s">
        <v>5303</v>
      </c>
      <c r="S103" s="210">
        <f>S102-4</f>
        <v>172</v>
      </c>
      <c r="T103" s="210" t="s">
        <v>5304</v>
      </c>
      <c r="U103" s="210">
        <v>6980.8</v>
      </c>
      <c r="V103" s="97">
        <f>U103*(1+$R$93+$Q$15*S103/36500)</f>
        <v>8007.9912504109598</v>
      </c>
      <c r="W103" s="32">
        <f t="shared" si="29"/>
        <v>8168.1510754191795</v>
      </c>
      <c r="X103" s="32">
        <f t="shared" si="30"/>
        <v>8328.3109004273992</v>
      </c>
      <c r="Y103" s="94"/>
      <c r="AH103" s="97">
        <v>83</v>
      </c>
      <c r="AI103" s="111" t="s">
        <v>4514</v>
      </c>
      <c r="AJ103" s="111">
        <v>-5527618</v>
      </c>
      <c r="AK103" s="97">
        <v>0</v>
      </c>
      <c r="AL103" s="97">
        <f t="shared" si="26"/>
        <v>417</v>
      </c>
      <c r="AM103" s="115">
        <f t="shared" si="9"/>
        <v>-2305016706</v>
      </c>
      <c r="AN103" s="97"/>
    </row>
    <row r="104" spans="4:47">
      <c r="J104" t="s">
        <v>25</v>
      </c>
      <c r="Q104" s="167">
        <v>4160802</v>
      </c>
      <c r="R104" s="210" t="s">
        <v>983</v>
      </c>
      <c r="S104" s="210">
        <f>S103-2</f>
        <v>170</v>
      </c>
      <c r="T104" s="210" t="s">
        <v>5312</v>
      </c>
      <c r="U104" s="210">
        <v>7092.5</v>
      </c>
      <c r="V104" s="97">
        <f>U104*(1+$R$93+$Q$15*S104/36500)</f>
        <v>8125.2457260273977</v>
      </c>
      <c r="W104" s="32">
        <f t="shared" si="29"/>
        <v>8287.7506405479453</v>
      </c>
      <c r="X104" s="32">
        <f t="shared" si="30"/>
        <v>8450.2555550684938</v>
      </c>
      <c r="Y104" s="94"/>
      <c r="AH104" s="97">
        <v>84</v>
      </c>
      <c r="AI104" s="111" t="s">
        <v>4514</v>
      </c>
      <c r="AJ104" s="111">
        <v>3900000</v>
      </c>
      <c r="AK104" s="97">
        <v>3</v>
      </c>
      <c r="AL104" s="97">
        <f t="shared" si="26"/>
        <v>417</v>
      </c>
      <c r="AM104" s="115">
        <f t="shared" si="9"/>
        <v>1626300000</v>
      </c>
      <c r="AN104" s="97"/>
    </row>
    <row r="105" spans="4:47">
      <c r="Q105" s="167">
        <v>5397012</v>
      </c>
      <c r="R105" s="210" t="s">
        <v>5313</v>
      </c>
      <c r="S105" s="210">
        <f>S104-1</f>
        <v>169</v>
      </c>
      <c r="T105" s="210" t="s">
        <v>5328</v>
      </c>
      <c r="U105" s="210">
        <v>6923.5</v>
      </c>
      <c r="V105" s="97">
        <f>U105*(1+$R$93+$Q$15*S105/36500)</f>
        <v>7926.3262958904124</v>
      </c>
      <c r="W105" s="32">
        <f t="shared" si="29"/>
        <v>8084.8528218082211</v>
      </c>
      <c r="X105" s="32">
        <f t="shared" si="30"/>
        <v>8243.3793477260297</v>
      </c>
      <c r="Y105" s="94"/>
      <c r="AH105" s="97">
        <v>85</v>
      </c>
      <c r="AI105" s="111" t="s">
        <v>4515</v>
      </c>
      <c r="AJ105" s="111">
        <v>-3969754</v>
      </c>
      <c r="AK105" s="97">
        <v>1</v>
      </c>
      <c r="AL105" s="97">
        <f t="shared" si="26"/>
        <v>414</v>
      </c>
      <c r="AM105" s="115">
        <f t="shared" si="9"/>
        <v>-1643478156</v>
      </c>
      <c r="AN105" s="97"/>
    </row>
    <row r="106" spans="4:47">
      <c r="F106" s="210" t="s">
        <v>4625</v>
      </c>
      <c r="G106" s="210" t="s">
        <v>926</v>
      </c>
      <c r="H106" s="210" t="s">
        <v>4618</v>
      </c>
      <c r="I106" s="210" t="s">
        <v>4617</v>
      </c>
      <c r="J106" s="32" t="s">
        <v>4493</v>
      </c>
      <c r="K106" s="210" t="s">
        <v>4611</v>
      </c>
      <c r="L106" s="32" t="s">
        <v>4613</v>
      </c>
      <c r="M106" s="32" t="s">
        <v>4588</v>
      </c>
      <c r="N106" s="210" t="s">
        <v>4589</v>
      </c>
      <c r="Q106" s="167">
        <v>6908862</v>
      </c>
      <c r="R106" s="210" t="s">
        <v>5326</v>
      </c>
      <c r="S106" s="210">
        <f>S105-11</f>
        <v>158</v>
      </c>
      <c r="T106" s="210" t="s">
        <v>5335</v>
      </c>
      <c r="U106" s="210">
        <v>7301.1</v>
      </c>
      <c r="V106" s="97">
        <f>U106*(1+$R$93+$Q$15*S106/36500)</f>
        <v>8297.0100460273989</v>
      </c>
      <c r="W106" s="32">
        <f t="shared" ref="W106:W111" si="31">V106*(1+$W$19/100)</f>
        <v>8462.9502469479467</v>
      </c>
      <c r="X106" s="32">
        <f t="shared" ref="X106:X111" si="32">V106*(1+$X$19/100)</f>
        <v>8628.8904478684944</v>
      </c>
      <c r="Y106" s="94"/>
      <c r="AA106" t="s">
        <v>25</v>
      </c>
      <c r="AH106" s="97">
        <v>86</v>
      </c>
      <c r="AI106" s="111" t="s">
        <v>4525</v>
      </c>
      <c r="AJ106" s="111">
        <v>-25574455</v>
      </c>
      <c r="AK106" s="97">
        <v>0</v>
      </c>
      <c r="AL106" s="97">
        <f t="shared" si="26"/>
        <v>413</v>
      </c>
      <c r="AM106" s="115">
        <f t="shared" si="9"/>
        <v>-10562249915</v>
      </c>
      <c r="AN106" s="97"/>
      <c r="AP106" t="s">
        <v>25</v>
      </c>
    </row>
    <row r="107" spans="4:47">
      <c r="F107" s="197">
        <f>$L$115/G107</f>
        <v>4890.8296943231444</v>
      </c>
      <c r="G107" s="197">
        <f>P52</f>
        <v>2290</v>
      </c>
      <c r="H107" s="197" t="s">
        <v>4718</v>
      </c>
      <c r="I107" s="197" t="s">
        <v>5346</v>
      </c>
      <c r="J107" s="211" t="s">
        <v>4221</v>
      </c>
      <c r="K107" s="197">
        <v>210</v>
      </c>
      <c r="L107" s="212">
        <f t="shared" ref="L107:L112" si="33">K107*$L$115</f>
        <v>2352000000</v>
      </c>
      <c r="M107" s="212">
        <f>N21+N31+N52+N44</f>
        <v>2456127292.5999999</v>
      </c>
      <c r="N107" s="181">
        <f t="shared" ref="N107:N112" si="34">L107-M107</f>
        <v>-104127292.5999999</v>
      </c>
      <c r="P107" s="94"/>
      <c r="Q107" s="167">
        <v>36895962</v>
      </c>
      <c r="R107" s="210" t="s">
        <v>5336</v>
      </c>
      <c r="S107" s="210">
        <f>S106-1</f>
        <v>157</v>
      </c>
      <c r="T107" s="210" t="s">
        <v>5341</v>
      </c>
      <c r="U107" s="210">
        <v>7372.4</v>
      </c>
      <c r="V107" s="97">
        <f>U107*(1+$R$93+$Q$15*S107/36500)</f>
        <v>8372.3802169863011</v>
      </c>
      <c r="W107" s="32">
        <f t="shared" si="31"/>
        <v>8539.8278213260273</v>
      </c>
      <c r="X107" s="32">
        <f t="shared" si="32"/>
        <v>8707.2754256657536</v>
      </c>
      <c r="AA107" t="s">
        <v>25</v>
      </c>
      <c r="AH107" s="97">
        <v>87</v>
      </c>
      <c r="AI107" s="111" t="s">
        <v>4525</v>
      </c>
      <c r="AJ107" s="111">
        <v>4000000</v>
      </c>
      <c r="AK107" s="97">
        <v>1</v>
      </c>
      <c r="AL107" s="97">
        <f t="shared" si="26"/>
        <v>413</v>
      </c>
      <c r="AM107" s="115">
        <f t="shared" si="9"/>
        <v>1652000000</v>
      </c>
      <c r="AN107" s="97"/>
    </row>
    <row r="108" spans="4:47">
      <c r="F108" s="210">
        <v>0</v>
      </c>
      <c r="G108" s="210">
        <f>P49</f>
        <v>19234.599999999999</v>
      </c>
      <c r="H108" s="210" t="s">
        <v>4880</v>
      </c>
      <c r="I108" s="210" t="s">
        <v>5347</v>
      </c>
      <c r="J108" s="32" t="s">
        <v>4363</v>
      </c>
      <c r="K108" s="210">
        <v>33</v>
      </c>
      <c r="L108" s="1">
        <f t="shared" si="33"/>
        <v>369600000</v>
      </c>
      <c r="M108" s="1">
        <f>N49+N28+N24</f>
        <v>5863648575.3999996</v>
      </c>
      <c r="N108" s="111">
        <f t="shared" si="34"/>
        <v>-5494048575.3999996</v>
      </c>
      <c r="P108" s="94"/>
      <c r="Q108" s="167">
        <v>25972060</v>
      </c>
      <c r="R108" s="210" t="s">
        <v>5350</v>
      </c>
      <c r="S108" s="210">
        <f>S107-3</f>
        <v>154</v>
      </c>
      <c r="T108" s="210" t="s">
        <v>5445</v>
      </c>
      <c r="U108" s="210">
        <v>7557.6</v>
      </c>
      <c r="V108" s="97">
        <f>U108*(1+$R$93+$Q$15*S108/36500)</f>
        <v>8565.307607671235</v>
      </c>
      <c r="W108" s="32">
        <f t="shared" si="31"/>
        <v>8736.6137598246605</v>
      </c>
      <c r="X108" s="32">
        <f t="shared" si="32"/>
        <v>8907.9199119780842</v>
      </c>
      <c r="AH108" s="97">
        <v>88</v>
      </c>
      <c r="AI108" s="111" t="s">
        <v>979</v>
      </c>
      <c r="AJ108" s="111">
        <v>-5000000</v>
      </c>
      <c r="AK108" s="97">
        <v>2</v>
      </c>
      <c r="AL108" s="97">
        <f t="shared" si="26"/>
        <v>412</v>
      </c>
      <c r="AM108" s="115">
        <f t="shared" si="9"/>
        <v>-2060000000</v>
      </c>
      <c r="AN108" s="97"/>
    </row>
    <row r="109" spans="4:47">
      <c r="F109" s="197">
        <v>0</v>
      </c>
      <c r="G109" s="197">
        <f>P48</f>
        <v>16012</v>
      </c>
      <c r="H109" s="197" t="s">
        <v>5000</v>
      </c>
      <c r="I109" s="197" t="s">
        <v>5348</v>
      </c>
      <c r="J109" s="211" t="s">
        <v>4359</v>
      </c>
      <c r="K109" s="197">
        <v>0</v>
      </c>
      <c r="L109" s="212">
        <f t="shared" si="33"/>
        <v>0</v>
      </c>
      <c r="M109" s="212">
        <f>N48+N25</f>
        <v>2608915220</v>
      </c>
      <c r="N109" s="181">
        <f t="shared" si="34"/>
        <v>-2608915220</v>
      </c>
      <c r="P109" s="94"/>
      <c r="Q109" s="167">
        <v>29717771</v>
      </c>
      <c r="R109" s="210" t="s">
        <v>5446</v>
      </c>
      <c r="S109" s="210">
        <f>S108-40</f>
        <v>114</v>
      </c>
      <c r="T109" s="210" t="s">
        <v>5448</v>
      </c>
      <c r="U109" s="210">
        <v>7159.6</v>
      </c>
      <c r="V109" s="97">
        <f>U109*(1+$R$93+$Q$15*S109/36500)</f>
        <v>7894.5476515068503</v>
      </c>
      <c r="W109" s="32">
        <f t="shared" si="31"/>
        <v>8052.4386045369874</v>
      </c>
      <c r="X109" s="32">
        <f t="shared" si="32"/>
        <v>8210.3295575671254</v>
      </c>
      <c r="AD109" s="94"/>
      <c r="AE109"/>
      <c r="AF109"/>
      <c r="AH109" s="97">
        <v>89</v>
      </c>
      <c r="AI109" s="111" t="s">
        <v>4529</v>
      </c>
      <c r="AJ109" s="111">
        <v>10000000</v>
      </c>
      <c r="AK109" s="97">
        <v>4</v>
      </c>
      <c r="AL109" s="97">
        <f t="shared" si="26"/>
        <v>410</v>
      </c>
      <c r="AM109" s="115">
        <f t="shared" si="9"/>
        <v>4100000000</v>
      </c>
      <c r="AN109" s="97"/>
    </row>
    <row r="110" spans="4:47">
      <c r="F110" s="187"/>
      <c r="G110" s="187"/>
      <c r="H110" s="187"/>
      <c r="I110" s="187"/>
      <c r="J110" s="277" t="s">
        <v>5349</v>
      </c>
      <c r="K110" s="187">
        <v>0</v>
      </c>
      <c r="L110" s="278">
        <f t="shared" si="33"/>
        <v>0</v>
      </c>
      <c r="M110" s="278">
        <f>N20+N27+N42</f>
        <v>38939</v>
      </c>
      <c r="N110" s="186">
        <f t="shared" si="34"/>
        <v>-38939</v>
      </c>
      <c r="P110" s="94"/>
      <c r="Q110" s="167">
        <v>7374741</v>
      </c>
      <c r="R110" s="210" t="s">
        <v>5453</v>
      </c>
      <c r="S110" s="210">
        <f>S109-8</f>
        <v>106</v>
      </c>
      <c r="T110" s="210" t="s">
        <v>5454</v>
      </c>
      <c r="U110" s="210">
        <v>7601</v>
      </c>
      <c r="V110" s="97">
        <f>U110*(1+$R$93+$Q$15*S110/36500)</f>
        <v>8334.611035616439</v>
      </c>
      <c r="W110" s="32">
        <f t="shared" si="31"/>
        <v>8501.3032563287688</v>
      </c>
      <c r="X110" s="32">
        <f t="shared" si="32"/>
        <v>8667.9954770410968</v>
      </c>
      <c r="AH110" s="97">
        <v>90</v>
      </c>
      <c r="AI110" s="111" t="s">
        <v>4531</v>
      </c>
      <c r="AJ110" s="111">
        <v>-5241937</v>
      </c>
      <c r="AK110" s="97">
        <v>0</v>
      </c>
      <c r="AL110" s="97">
        <f t="shared" si="26"/>
        <v>406</v>
      </c>
      <c r="AM110" s="115">
        <f t="shared" si="9"/>
        <v>-2128226422</v>
      </c>
      <c r="AN110" s="97"/>
    </row>
    <row r="111" spans="4:47">
      <c r="F111" s="197"/>
      <c r="G111" s="197"/>
      <c r="H111" s="197"/>
      <c r="I111" s="197"/>
      <c r="J111" s="211" t="s">
        <v>314</v>
      </c>
      <c r="K111" s="197">
        <v>1</v>
      </c>
      <c r="L111" s="212">
        <f t="shared" si="33"/>
        <v>11200000</v>
      </c>
      <c r="M111" s="212">
        <v>0</v>
      </c>
      <c r="N111" s="181">
        <f t="shared" si="34"/>
        <v>11200000</v>
      </c>
      <c r="Q111" s="167">
        <v>2612032</v>
      </c>
      <c r="R111" s="210" t="s">
        <v>5458</v>
      </c>
      <c r="S111" s="210">
        <f>S110-4</f>
        <v>102</v>
      </c>
      <c r="T111" s="210" t="s">
        <v>5459</v>
      </c>
      <c r="U111" s="210">
        <v>8000.7</v>
      </c>
      <c r="V111" s="97">
        <f>U111*(1+$R$93+$Q$15*S111/36500)</f>
        <v>8748.338015342466</v>
      </c>
      <c r="W111" s="32">
        <f t="shared" si="31"/>
        <v>8923.3047756493161</v>
      </c>
      <c r="X111" s="32">
        <f t="shared" si="32"/>
        <v>9098.2715359561644</v>
      </c>
      <c r="AH111" s="97">
        <v>91</v>
      </c>
      <c r="AI111" s="111" t="s">
        <v>4531</v>
      </c>
      <c r="AJ111" s="111">
        <v>21900000</v>
      </c>
      <c r="AK111" s="97">
        <v>2</v>
      </c>
      <c r="AL111" s="97">
        <f t="shared" si="26"/>
        <v>406</v>
      </c>
      <c r="AM111" s="115">
        <f t="shared" si="9"/>
        <v>8891400000</v>
      </c>
      <c r="AN111" s="97"/>
      <c r="AP111" t="s">
        <v>25</v>
      </c>
      <c r="AU111"/>
    </row>
    <row r="112" spans="4:47">
      <c r="F112" s="189"/>
      <c r="G112" s="189"/>
      <c r="H112" s="189"/>
      <c r="I112" s="189"/>
      <c r="J112" s="249" t="s">
        <v>5477</v>
      </c>
      <c r="K112" s="189">
        <v>798</v>
      </c>
      <c r="L112" s="250">
        <f t="shared" si="33"/>
        <v>8937600000</v>
      </c>
      <c r="M112" s="250">
        <v>0</v>
      </c>
      <c r="N112" s="84">
        <f t="shared" si="34"/>
        <v>8937600000</v>
      </c>
      <c r="P112" t="s">
        <v>25</v>
      </c>
      <c r="Q112" s="167">
        <v>6180139</v>
      </c>
      <c r="R112" s="210" t="s">
        <v>5462</v>
      </c>
      <c r="S112" s="210">
        <f>S111-2</f>
        <v>100</v>
      </c>
      <c r="T112" s="210" t="s">
        <v>5464</v>
      </c>
      <c r="U112" s="210">
        <v>8485.7999999999993</v>
      </c>
      <c r="V112" s="97">
        <f>U112*(1+$R$93+$Q$15*S112/36500)</f>
        <v>9265.7496394520549</v>
      </c>
      <c r="W112" s="32">
        <f t="shared" ref="W112:W117" si="35">V112*(1+$W$19/100)</f>
        <v>9451.0646322410958</v>
      </c>
      <c r="X112" s="32">
        <f t="shared" ref="X112:X117" si="36">V112*(1+$X$19/100)</f>
        <v>9636.3796250301366</v>
      </c>
      <c r="AH112" s="97">
        <v>92</v>
      </c>
      <c r="AI112" s="111" t="s">
        <v>4538</v>
      </c>
      <c r="AJ112" s="111">
        <v>-15000000</v>
      </c>
      <c r="AK112" s="97">
        <v>0</v>
      </c>
      <c r="AL112" s="97">
        <f t="shared" si="26"/>
        <v>404</v>
      </c>
      <c r="AM112" s="115">
        <f t="shared" si="9"/>
        <v>-6060000000</v>
      </c>
      <c r="AN112" s="97"/>
      <c r="AO112" t="s">
        <v>25</v>
      </c>
    </row>
    <row r="113" spans="6:46">
      <c r="F113" s="210"/>
      <c r="G113" s="210"/>
      <c r="H113" s="210"/>
      <c r="I113" s="210"/>
      <c r="J113" s="32" t="s">
        <v>4693</v>
      </c>
      <c r="K113" s="210"/>
      <c r="L113" s="1"/>
      <c r="M113" s="1"/>
      <c r="N113" s="111">
        <f>20000000-L43</f>
        <v>41000000</v>
      </c>
      <c r="O113" t="s">
        <v>25</v>
      </c>
      <c r="P113" t="s">
        <v>25</v>
      </c>
      <c r="Q113" s="167">
        <v>17185077</v>
      </c>
      <c r="R113" s="210" t="s">
        <v>5463</v>
      </c>
      <c r="S113" s="210">
        <f>S112-1</f>
        <v>99</v>
      </c>
      <c r="T113" s="210" t="s">
        <v>5468</v>
      </c>
      <c r="U113" s="210">
        <v>8377.7999999999993</v>
      </c>
      <c r="V113" s="97">
        <f>U113*(1+$R$93+$Q$15*S113/36500)</f>
        <v>9141.3963024657533</v>
      </c>
      <c r="W113" s="32">
        <f t="shared" si="35"/>
        <v>9324.2242285150678</v>
      </c>
      <c r="X113" s="32">
        <f t="shared" si="36"/>
        <v>9507.0521545643842</v>
      </c>
      <c r="AH113" s="97">
        <v>93</v>
      </c>
      <c r="AI113" s="111" t="s">
        <v>4538</v>
      </c>
      <c r="AJ113" s="111">
        <v>3000000</v>
      </c>
      <c r="AK113" s="97">
        <v>1</v>
      </c>
      <c r="AL113" s="97">
        <f t="shared" si="26"/>
        <v>404</v>
      </c>
      <c r="AM113" s="115">
        <f t="shared" si="9"/>
        <v>1212000000</v>
      </c>
      <c r="AN113" s="97"/>
    </row>
    <row r="114" spans="6:46">
      <c r="F114" s="197"/>
      <c r="G114" s="197"/>
      <c r="H114" s="197"/>
      <c r="I114" s="197"/>
      <c r="J114" s="211" t="s">
        <v>5019</v>
      </c>
      <c r="K114" s="197">
        <f>SUM(K107:K112)</f>
        <v>1042</v>
      </c>
      <c r="L114" s="212"/>
      <c r="M114" s="212"/>
      <c r="N114" s="181"/>
      <c r="Q114" s="167">
        <v>83684098</v>
      </c>
      <c r="R114" s="210" t="s">
        <v>5466</v>
      </c>
      <c r="S114" s="210">
        <f>S113-1</f>
        <v>98</v>
      </c>
      <c r="T114" s="210" t="s">
        <v>5469</v>
      </c>
      <c r="U114" s="210">
        <v>8337.2999999999993</v>
      </c>
      <c r="V114" s="97">
        <f>U114*(1+$R$93+$Q$15*S114/36500)</f>
        <v>9090.8091846575353</v>
      </c>
      <c r="W114" s="32">
        <f t="shared" si="35"/>
        <v>9272.6253683506857</v>
      </c>
      <c r="X114" s="32">
        <f t="shared" si="36"/>
        <v>9454.4415520438379</v>
      </c>
      <c r="AH114" s="97">
        <v>94</v>
      </c>
      <c r="AI114" s="111" t="s">
        <v>4541</v>
      </c>
      <c r="AJ114" s="111">
        <v>-2103736</v>
      </c>
      <c r="AK114" s="97">
        <v>0</v>
      </c>
      <c r="AL114" s="97">
        <f t="shared" si="26"/>
        <v>403</v>
      </c>
      <c r="AM114" s="115">
        <f t="shared" si="9"/>
        <v>-847805608</v>
      </c>
      <c r="AN114" s="97"/>
    </row>
    <row r="115" spans="6:46">
      <c r="F115" s="210"/>
      <c r="G115" s="210"/>
      <c r="H115" s="210" t="s">
        <v>25</v>
      </c>
      <c r="I115" s="210"/>
      <c r="J115" s="32"/>
      <c r="K115" s="210">
        <v>0</v>
      </c>
      <c r="L115" s="39">
        <f>10*P54</f>
        <v>11200000</v>
      </c>
      <c r="M115" s="1">
        <f>K115*L115</f>
        <v>0</v>
      </c>
      <c r="N115" s="111">
        <f>SUM(N107:N113)-M115</f>
        <v>782669973</v>
      </c>
      <c r="P115" s="112"/>
      <c r="Q115" s="167">
        <v>1131325.9005020538</v>
      </c>
      <c r="R115" s="210" t="s">
        <v>5474</v>
      </c>
      <c r="S115" s="210">
        <f>S114-3</f>
        <v>95</v>
      </c>
      <c r="T115" s="210" t="s">
        <v>5612</v>
      </c>
      <c r="U115" s="210">
        <v>8280.2000000000007</v>
      </c>
      <c r="V115" s="97">
        <f>U115*(1+$R$93+$Q$15*S115/36500)</f>
        <v>9009.4927934246589</v>
      </c>
      <c r="W115" s="32">
        <f t="shared" si="35"/>
        <v>9189.6826492931523</v>
      </c>
      <c r="X115" s="32">
        <f t="shared" si="36"/>
        <v>9369.8725051616457</v>
      </c>
      <c r="AH115" s="97">
        <v>95</v>
      </c>
      <c r="AI115" s="111" t="s">
        <v>4541</v>
      </c>
      <c r="AJ115" s="111">
        <v>220000</v>
      </c>
      <c r="AK115" s="97">
        <v>3</v>
      </c>
      <c r="AL115" s="97">
        <f t="shared" si="26"/>
        <v>403</v>
      </c>
      <c r="AM115" s="115">
        <f t="shared" si="9"/>
        <v>88660000</v>
      </c>
      <c r="AN115" s="97"/>
      <c r="AR115" s="94"/>
      <c r="AS115" s="94"/>
      <c r="AT115"/>
    </row>
    <row r="116" spans="6:46">
      <c r="F116" s="197"/>
      <c r="G116" s="197"/>
      <c r="H116" s="197"/>
      <c r="I116" s="197"/>
      <c r="J116" s="211"/>
      <c r="K116" s="237"/>
      <c r="L116" s="212" t="s">
        <v>4231</v>
      </c>
      <c r="M116" s="212" t="s">
        <v>4605</v>
      </c>
      <c r="N116" s="181" t="s">
        <v>4606</v>
      </c>
      <c r="P116" t="s">
        <v>25</v>
      </c>
      <c r="Q116" s="167">
        <v>51910020</v>
      </c>
      <c r="R116" s="210" t="s">
        <v>5474</v>
      </c>
      <c r="S116" s="210">
        <f>S115</f>
        <v>95</v>
      </c>
      <c r="T116" s="210" t="s">
        <v>5475</v>
      </c>
      <c r="U116" s="210">
        <v>8758.5</v>
      </c>
      <c r="V116" s="97">
        <f>U116*(1+$R$93+$Q$15*S116/36500)</f>
        <v>9529.9198849315071</v>
      </c>
      <c r="W116" s="32">
        <f t="shared" si="35"/>
        <v>9720.518282630137</v>
      </c>
      <c r="X116" s="32">
        <f t="shared" si="36"/>
        <v>9911.116680328767</v>
      </c>
      <c r="AH116" s="97">
        <v>96</v>
      </c>
      <c r="AI116" s="111" t="s">
        <v>4550</v>
      </c>
      <c r="AJ116" s="111">
        <v>4000000</v>
      </c>
      <c r="AK116" s="97">
        <v>1</v>
      </c>
      <c r="AL116" s="97">
        <f t="shared" si="26"/>
        <v>400</v>
      </c>
      <c r="AM116" s="115">
        <f t="shared" si="9"/>
        <v>1600000000</v>
      </c>
      <c r="AN116" s="97"/>
    </row>
    <row r="117" spans="6:46">
      <c r="F117" s="210"/>
      <c r="G117" s="210"/>
      <c r="H117" s="210"/>
      <c r="I117" s="210"/>
      <c r="J117" s="32" t="s">
        <v>4612</v>
      </c>
      <c r="K117" s="210"/>
      <c r="L117" s="1"/>
      <c r="M117" s="1"/>
      <c r="N117" s="111"/>
      <c r="Q117" s="167">
        <v>15223196.506844705</v>
      </c>
      <c r="R117" s="210" t="s">
        <v>5478</v>
      </c>
      <c r="S117" s="210">
        <f>S116-1</f>
        <v>94</v>
      </c>
      <c r="T117" s="210" t="s">
        <v>5524</v>
      </c>
      <c r="U117" s="210">
        <v>9036.6</v>
      </c>
      <c r="V117" s="97">
        <f>U117*(1+$R$93+$Q$15*S117/36500)</f>
        <v>9825.5818323287676</v>
      </c>
      <c r="W117" s="32">
        <f t="shared" si="35"/>
        <v>10022.093468975343</v>
      </c>
      <c r="X117" s="32">
        <f t="shared" si="36"/>
        <v>10218.605105621918</v>
      </c>
      <c r="AH117" s="97">
        <v>97</v>
      </c>
      <c r="AI117" s="111" t="s">
        <v>4554</v>
      </c>
      <c r="AJ117" s="111">
        <v>-9000000</v>
      </c>
      <c r="AK117" s="97">
        <v>0</v>
      </c>
      <c r="AL117" s="97">
        <f t="shared" si="26"/>
        <v>399</v>
      </c>
      <c r="AM117" s="115">
        <f t="shared" si="9"/>
        <v>-3591000000</v>
      </c>
      <c r="AN117" s="97"/>
      <c r="AP117" t="s">
        <v>25</v>
      </c>
    </row>
    <row r="118" spans="6:46">
      <c r="M118" t="s">
        <v>25</v>
      </c>
      <c r="Q118" s="167">
        <v>293172.34893992933</v>
      </c>
      <c r="R118" s="210" t="s">
        <v>5525</v>
      </c>
      <c r="S118" s="210">
        <f>S117-31</f>
        <v>63</v>
      </c>
      <c r="T118" s="210" t="s">
        <v>5592</v>
      </c>
      <c r="U118" s="210">
        <v>11673.9</v>
      </c>
      <c r="V118" s="97">
        <f>U118*(1+$R$93+$Q$15*S118/36500)</f>
        <v>12415.52847452055</v>
      </c>
      <c r="W118" s="32">
        <f t="shared" ref="W118:W119" si="37">V118*(1+$W$19/100)</f>
        <v>12663.839044010962</v>
      </c>
      <c r="X118" s="32">
        <f t="shared" ref="X118:X119" si="38">V118*(1+$X$19/100)</f>
        <v>12912.149613501373</v>
      </c>
      <c r="AH118" s="97">
        <v>98</v>
      </c>
      <c r="AI118" s="111" t="s">
        <v>4554</v>
      </c>
      <c r="AJ118" s="111">
        <v>13900000</v>
      </c>
      <c r="AK118" s="97">
        <v>2</v>
      </c>
      <c r="AL118" s="97">
        <f t="shared" si="26"/>
        <v>399</v>
      </c>
      <c r="AM118" s="115">
        <f t="shared" si="9"/>
        <v>5546100000</v>
      </c>
      <c r="AN118" s="97"/>
    </row>
    <row r="119" spans="6:46">
      <c r="I119" t="s">
        <v>25</v>
      </c>
      <c r="P119" s="112"/>
      <c r="Q119" s="167">
        <v>372863</v>
      </c>
      <c r="R119" s="210" t="s">
        <v>5546</v>
      </c>
      <c r="S119" s="210">
        <f>S118-7</f>
        <v>56</v>
      </c>
      <c r="T119" s="210" t="s">
        <v>5568</v>
      </c>
      <c r="U119" s="210">
        <v>6511.9</v>
      </c>
      <c r="V119" s="97">
        <f>U119*(1+$R$93+$Q$15*S119/36500)</f>
        <v>6890.6249676712332</v>
      </c>
      <c r="W119" s="32">
        <f t="shared" si="37"/>
        <v>7028.437467024658</v>
      </c>
      <c r="X119" s="32">
        <f t="shared" si="38"/>
        <v>7166.2499663780827</v>
      </c>
      <c r="AH119" s="97">
        <v>99</v>
      </c>
      <c r="AI119" s="111" t="s">
        <v>4559</v>
      </c>
      <c r="AJ119" s="111">
        <v>-8127577</v>
      </c>
      <c r="AK119" s="97">
        <v>1</v>
      </c>
      <c r="AL119" s="97">
        <f t="shared" si="26"/>
        <v>397</v>
      </c>
      <c r="AM119" s="115">
        <f t="shared" si="9"/>
        <v>-3226648069</v>
      </c>
      <c r="AN119" s="97"/>
      <c r="AO119" t="s">
        <v>25</v>
      </c>
      <c r="AQ119" t="s">
        <v>25</v>
      </c>
    </row>
    <row r="120" spans="6:46">
      <c r="J120" s="112"/>
      <c r="K120" s="166" t="s">
        <v>4493</v>
      </c>
      <c r="L120" s="166" t="s">
        <v>4494</v>
      </c>
      <c r="M120" s="166" t="s">
        <v>4397</v>
      </c>
      <c r="N120" s="54" t="s">
        <v>190</v>
      </c>
      <c r="Q120" s="167">
        <v>69341029</v>
      </c>
      <c r="R120" s="210" t="s">
        <v>5591</v>
      </c>
      <c r="S120" s="210">
        <f>S119-25</f>
        <v>31</v>
      </c>
      <c r="T120" s="210" t="s">
        <v>5605</v>
      </c>
      <c r="U120" s="210">
        <v>16569.3</v>
      </c>
      <c r="V120" s="97">
        <f>U120*(1+$R$93+$Q$15*S120/36500)</f>
        <v>17215.18493260274</v>
      </c>
      <c r="W120" s="32">
        <f t="shared" ref="W120:W126" si="39">V120*(1+$W$19/100)</f>
        <v>17559.488631254797</v>
      </c>
      <c r="X120" s="32">
        <f t="shared" ref="X120:X126" si="40">V120*(1+$X$19/100)</f>
        <v>17903.79232990685</v>
      </c>
      <c r="AH120" s="97">
        <v>100</v>
      </c>
      <c r="AI120" s="111" t="s">
        <v>3675</v>
      </c>
      <c r="AJ120" s="111">
        <v>15792549</v>
      </c>
      <c r="AK120" s="97">
        <v>3</v>
      </c>
      <c r="AL120" s="97">
        <f t="shared" si="26"/>
        <v>396</v>
      </c>
      <c r="AM120" s="115">
        <f t="shared" si="9"/>
        <v>6253849404</v>
      </c>
      <c r="AN120" s="97"/>
      <c r="AO120" t="s">
        <v>25</v>
      </c>
      <c r="AP120" t="s">
        <v>25</v>
      </c>
    </row>
    <row r="121" spans="6:46">
      <c r="H121" s="112"/>
      <c r="K121" s="166" t="s">
        <v>4221</v>
      </c>
      <c r="L121" s="167">
        <v>1100000</v>
      </c>
      <c r="M121" s="167">
        <v>1637000</v>
      </c>
      <c r="N121" s="166">
        <f t="shared" ref="N121:N129" si="41">(M121-L121)*100/L121</f>
        <v>48.81818181818182</v>
      </c>
      <c r="Q121" s="167">
        <v>681345143</v>
      </c>
      <c r="R121" s="210" t="s">
        <v>5607</v>
      </c>
      <c r="S121" s="210">
        <f>S120-6</f>
        <v>25</v>
      </c>
      <c r="T121" s="210" t="s">
        <v>5609</v>
      </c>
      <c r="U121" s="210">
        <v>17576</v>
      </c>
      <c r="V121" s="97">
        <f>U121*(1+$R$93+$Q$15*S121/36500)</f>
        <v>18180.229172602743</v>
      </c>
      <c r="W121" s="32">
        <f t="shared" si="39"/>
        <v>18543.833756054799</v>
      </c>
      <c r="X121" s="32">
        <f t="shared" si="40"/>
        <v>18907.438339506854</v>
      </c>
      <c r="AH121" s="97">
        <v>101</v>
      </c>
      <c r="AI121" s="111" t="s">
        <v>4563</v>
      </c>
      <c r="AJ121" s="111">
        <v>8800000</v>
      </c>
      <c r="AK121" s="97">
        <v>0</v>
      </c>
      <c r="AL121" s="97">
        <f t="shared" ref="AL121:AL126" si="42">AL122+AK121</f>
        <v>393</v>
      </c>
      <c r="AM121" s="115">
        <f t="shared" ref="AM121:AM144" si="43">AJ121*AL121</f>
        <v>3458400000</v>
      </c>
      <c r="AN121" s="97"/>
      <c r="AP121" t="s">
        <v>25</v>
      </c>
    </row>
    <row r="122" spans="6:46" ht="45">
      <c r="F122" s="94"/>
      <c r="G122" s="210"/>
      <c r="H122" s="210" t="s">
        <v>5673</v>
      </c>
      <c r="I122" s="213" t="s">
        <v>5442</v>
      </c>
      <c r="J122" s="1">
        <v>79922415</v>
      </c>
      <c r="K122" s="5" t="s">
        <v>4488</v>
      </c>
      <c r="L122" s="167">
        <v>1100000</v>
      </c>
      <c r="M122" s="167">
        <v>4748000</v>
      </c>
      <c r="N122" s="166">
        <f t="shared" si="41"/>
        <v>331.63636363636363</v>
      </c>
      <c r="Q122" s="167">
        <v>506650769</v>
      </c>
      <c r="R122" s="210" t="s">
        <v>5611</v>
      </c>
      <c r="S122" s="210">
        <f>S121-1</f>
        <v>24</v>
      </c>
      <c r="T122" s="210" t="s">
        <v>5619</v>
      </c>
      <c r="U122" s="210">
        <v>17615.900000000001</v>
      </c>
      <c r="V122" s="97">
        <f>U122*(1+$R$93+$Q$15*S122/36500)</f>
        <v>18207.987290958907</v>
      </c>
      <c r="W122" s="32">
        <f t="shared" si="39"/>
        <v>18572.147036778086</v>
      </c>
      <c r="X122" s="32">
        <f t="shared" si="40"/>
        <v>18936.306782597265</v>
      </c>
      <c r="Y122" t="s">
        <v>25</v>
      </c>
      <c r="AH122" s="119">
        <v>102</v>
      </c>
      <c r="AI122" s="77" t="s">
        <v>4563</v>
      </c>
      <c r="AJ122" s="77">
        <v>13071612</v>
      </c>
      <c r="AK122" s="119">
        <v>1</v>
      </c>
      <c r="AL122" s="119">
        <f t="shared" si="42"/>
        <v>393</v>
      </c>
      <c r="AM122" s="77">
        <f t="shared" si="43"/>
        <v>5137143516</v>
      </c>
      <c r="AN122" s="202" t="s">
        <v>4564</v>
      </c>
    </row>
    <row r="123" spans="6:46">
      <c r="F123" s="94"/>
      <c r="G123" s="210" t="s">
        <v>926</v>
      </c>
      <c r="H123" s="210" t="s">
        <v>4493</v>
      </c>
      <c r="I123" s="210" t="s">
        <v>922</v>
      </c>
      <c r="J123" s="210" t="s">
        <v>4691</v>
      </c>
      <c r="K123" s="5" t="s">
        <v>4489</v>
      </c>
      <c r="L123" s="167">
        <v>1100000</v>
      </c>
      <c r="M123" s="167">
        <v>5137000</v>
      </c>
      <c r="N123" s="166">
        <f t="shared" si="41"/>
        <v>367</v>
      </c>
      <c r="Q123" s="167">
        <v>169150198</v>
      </c>
      <c r="R123" s="210" t="s">
        <v>5622</v>
      </c>
      <c r="S123" s="210">
        <f>S122-6</f>
        <v>18</v>
      </c>
      <c r="T123" s="210" t="s">
        <v>5624</v>
      </c>
      <c r="U123" s="210">
        <v>17019</v>
      </c>
      <c r="V123" s="97">
        <f>U123*(1+$R$93+$Q$15*S123/36500)</f>
        <v>17512.690882191782</v>
      </c>
      <c r="W123" s="32">
        <f t="shared" si="39"/>
        <v>17862.944699835618</v>
      </c>
      <c r="X123" s="32">
        <f t="shared" si="40"/>
        <v>18213.198517479454</v>
      </c>
      <c r="Y123" t="s">
        <v>25</v>
      </c>
      <c r="AH123" s="87">
        <v>103</v>
      </c>
      <c r="AI123" s="88" t="s">
        <v>4567</v>
      </c>
      <c r="AJ123" s="88">
        <v>16727037</v>
      </c>
      <c r="AK123" s="87">
        <v>0</v>
      </c>
      <c r="AL123" s="87">
        <f t="shared" si="42"/>
        <v>392</v>
      </c>
      <c r="AM123" s="88">
        <f t="shared" si="43"/>
        <v>6556998504</v>
      </c>
      <c r="AN123" s="87" t="s">
        <v>4574</v>
      </c>
    </row>
    <row r="124" spans="6:46">
      <c r="F124" s="94"/>
      <c r="G124" s="1">
        <f>P52</f>
        <v>2290</v>
      </c>
      <c r="H124" s="210" t="s">
        <v>4221</v>
      </c>
      <c r="I124" s="210">
        <v>241029</v>
      </c>
      <c r="J124" s="1">
        <f>I124*G124</f>
        <v>551956410</v>
      </c>
      <c r="K124" s="19" t="s">
        <v>4359</v>
      </c>
      <c r="L124" s="167">
        <v>1100000</v>
      </c>
      <c r="M124" s="167">
        <v>4300000</v>
      </c>
      <c r="N124" s="166">
        <f t="shared" si="41"/>
        <v>290.90909090909093</v>
      </c>
      <c r="Q124" s="167">
        <v>85850892.67430684</v>
      </c>
      <c r="R124" s="210" t="s">
        <v>5622</v>
      </c>
      <c r="S124" s="210">
        <f>S123</f>
        <v>18</v>
      </c>
      <c r="T124" s="210" t="s">
        <v>5634</v>
      </c>
      <c r="U124" s="210">
        <v>17491.400000000001</v>
      </c>
      <c r="V124" s="97">
        <f>U124*(1+$R$93+$Q$15*S124/36500)</f>
        <v>17998.794364931509</v>
      </c>
      <c r="W124" s="32">
        <f t="shared" si="39"/>
        <v>18358.770252230141</v>
      </c>
      <c r="X124" s="32">
        <f t="shared" si="40"/>
        <v>18718.746139528772</v>
      </c>
      <c r="Y124" s="120" t="s">
        <v>25</v>
      </c>
      <c r="AH124" s="97">
        <v>104</v>
      </c>
      <c r="AI124" s="111" t="s">
        <v>4567</v>
      </c>
      <c r="AJ124" s="111">
        <v>12000000</v>
      </c>
      <c r="AK124" s="97">
        <v>1</v>
      </c>
      <c r="AL124" s="97">
        <f t="shared" si="42"/>
        <v>392</v>
      </c>
      <c r="AM124" s="115">
        <f t="shared" si="43"/>
        <v>4704000000</v>
      </c>
      <c r="AN124" s="97" t="s">
        <v>4575</v>
      </c>
    </row>
    <row r="125" spans="6:46">
      <c r="F125" s="94"/>
      <c r="G125" s="1">
        <f>P49</f>
        <v>19234.599999999999</v>
      </c>
      <c r="H125" s="210" t="s">
        <v>4363</v>
      </c>
      <c r="I125" s="210">
        <v>2535</v>
      </c>
      <c r="J125" s="1">
        <f>I125*G125</f>
        <v>48759711</v>
      </c>
      <c r="K125" s="5" t="s">
        <v>4376</v>
      </c>
      <c r="L125" s="167">
        <v>1100000</v>
      </c>
      <c r="M125" s="167">
        <v>3191000</v>
      </c>
      <c r="N125" s="166">
        <f t="shared" si="41"/>
        <v>190.09090909090909</v>
      </c>
      <c r="Q125" s="167">
        <v>142461941</v>
      </c>
      <c r="R125" s="210" t="s">
        <v>5623</v>
      </c>
      <c r="S125" s="210">
        <f>S124-1</f>
        <v>17</v>
      </c>
      <c r="T125" s="210" t="s">
        <v>5625</v>
      </c>
      <c r="U125" s="210">
        <v>16875.400000000001</v>
      </c>
      <c r="V125" s="97">
        <f>U125*(1+$R$93+$Q$15*S125/36500)</f>
        <v>17351.979789589044</v>
      </c>
      <c r="W125" s="32">
        <f t="shared" si="39"/>
        <v>17699.019385380827</v>
      </c>
      <c r="X125" s="32">
        <f t="shared" si="40"/>
        <v>18046.058981172606</v>
      </c>
      <c r="Z125" t="s">
        <v>25</v>
      </c>
      <c r="AH125" s="87">
        <v>105</v>
      </c>
      <c r="AI125" s="88" t="s">
        <v>4504</v>
      </c>
      <c r="AJ125" s="88">
        <v>88697667</v>
      </c>
      <c r="AK125" s="87">
        <v>1</v>
      </c>
      <c r="AL125" s="87">
        <f t="shared" si="42"/>
        <v>391</v>
      </c>
      <c r="AM125" s="88">
        <f t="shared" si="43"/>
        <v>34680787797</v>
      </c>
      <c r="AN125" s="87" t="s">
        <v>4576</v>
      </c>
      <c r="AP125" t="s">
        <v>25</v>
      </c>
    </row>
    <row r="126" spans="6:46">
      <c r="F126" s="94"/>
      <c r="G126" s="1"/>
      <c r="H126" s="210" t="s">
        <v>25</v>
      </c>
      <c r="I126" s="210"/>
      <c r="J126" s="1"/>
      <c r="K126" s="5" t="s">
        <v>4490</v>
      </c>
      <c r="L126" s="167">
        <v>1100000</v>
      </c>
      <c r="M126" s="167">
        <v>5623000</v>
      </c>
      <c r="N126" s="166">
        <f t="shared" si="41"/>
        <v>411.18181818181819</v>
      </c>
      <c r="Q126" s="167">
        <v>1466104441</v>
      </c>
      <c r="R126" s="210" t="s">
        <v>5627</v>
      </c>
      <c r="S126" s="210">
        <f>S125-2</f>
        <v>15</v>
      </c>
      <c r="T126" s="210" t="s">
        <v>5629</v>
      </c>
      <c r="U126" s="210">
        <v>17851.5</v>
      </c>
      <c r="V126" s="97">
        <f>U126*(1+$R$93+$Q$15*S126/36500)</f>
        <v>18328.257320547946</v>
      </c>
      <c r="W126" s="32">
        <f t="shared" si="39"/>
        <v>18694.822466958904</v>
      </c>
      <c r="X126" s="32">
        <f t="shared" si="40"/>
        <v>19061.387613369865</v>
      </c>
      <c r="Y126" t="s">
        <v>25</v>
      </c>
      <c r="AH126" s="97">
        <v>106</v>
      </c>
      <c r="AI126" s="111" t="s">
        <v>4507</v>
      </c>
      <c r="AJ126" s="111">
        <v>101000</v>
      </c>
      <c r="AK126" s="97">
        <v>0</v>
      </c>
      <c r="AL126" s="97">
        <f t="shared" si="42"/>
        <v>390</v>
      </c>
      <c r="AM126" s="115">
        <f t="shared" si="43"/>
        <v>39390000</v>
      </c>
      <c r="AN126" s="97"/>
      <c r="AQ126" t="s">
        <v>25</v>
      </c>
    </row>
    <row r="127" spans="6:46">
      <c r="F127" s="94"/>
      <c r="G127" s="210"/>
      <c r="H127" s="210"/>
      <c r="I127" s="186">
        <f>J127-J122</f>
        <v>520793706</v>
      </c>
      <c r="J127" s="1">
        <f>SUM(J124:J126)</f>
        <v>600716121</v>
      </c>
      <c r="K127" s="19" t="s">
        <v>4363</v>
      </c>
      <c r="L127" s="167">
        <v>1100000</v>
      </c>
      <c r="M127" s="167">
        <v>7728000</v>
      </c>
      <c r="N127" s="166">
        <f t="shared" si="41"/>
        <v>602.5454545454545</v>
      </c>
      <c r="Q127" s="167">
        <v>7909121.1904369332</v>
      </c>
      <c r="R127" s="210" t="s">
        <v>5632</v>
      </c>
      <c r="S127" s="210">
        <f>S126-1</f>
        <v>14</v>
      </c>
      <c r="T127" s="210" t="s">
        <v>5660</v>
      </c>
      <c r="U127" s="210">
        <v>17455.900000000001</v>
      </c>
      <c r="V127" s="97">
        <f>U127*(1+$R$93+$Q$15*S127/36500)</f>
        <v>17908.701263561648</v>
      </c>
      <c r="W127" s="32">
        <f t="shared" ref="W127:W137" si="44">V127*(1+$W$19/100)</f>
        <v>18266.875288832882</v>
      </c>
      <c r="X127" s="32">
        <f t="shared" ref="X127:X137" si="45">V127*(1+$X$19/100)</f>
        <v>18625.049314104115</v>
      </c>
      <c r="AH127" s="147">
        <v>107</v>
      </c>
      <c r="AI127" s="186" t="s">
        <v>4573</v>
      </c>
      <c r="AJ127" s="186">
        <v>-48200</v>
      </c>
      <c r="AK127" s="147">
        <v>0</v>
      </c>
      <c r="AL127" s="147">
        <f t="shared" ref="AL127:AL177" si="46">AL128+AK127</f>
        <v>390</v>
      </c>
      <c r="AM127" s="186">
        <f t="shared" si="43"/>
        <v>-18798000</v>
      </c>
      <c r="AN127" s="147" t="s">
        <v>4581</v>
      </c>
    </row>
    <row r="128" spans="6:46">
      <c r="F128" s="94"/>
      <c r="G128" s="210"/>
      <c r="H128" s="210"/>
      <c r="I128" s="210" t="s">
        <v>902</v>
      </c>
      <c r="J128" s="210" t="s">
        <v>6</v>
      </c>
      <c r="K128" s="5" t="s">
        <v>4492</v>
      </c>
      <c r="L128" s="167">
        <v>1100000</v>
      </c>
      <c r="M128" s="167">
        <v>2904000</v>
      </c>
      <c r="N128" s="166">
        <f t="shared" si="41"/>
        <v>164</v>
      </c>
      <c r="Q128" s="167">
        <v>49904983.031124078</v>
      </c>
      <c r="R128" s="210" t="s">
        <v>5635</v>
      </c>
      <c r="S128" s="210">
        <f>S127-3</f>
        <v>11</v>
      </c>
      <c r="T128" s="210" t="s">
        <v>5682</v>
      </c>
      <c r="U128" s="210">
        <v>19293</v>
      </c>
      <c r="V128" s="97">
        <f>U128*(1+$R$93+$Q$15*S128/36500)</f>
        <v>19749.054805479453</v>
      </c>
      <c r="W128" s="32">
        <f t="shared" si="44"/>
        <v>20144.035901589043</v>
      </c>
      <c r="X128" s="32">
        <f t="shared" si="45"/>
        <v>20539.016997698633</v>
      </c>
      <c r="AH128" s="87">
        <v>108</v>
      </c>
      <c r="AI128" s="88" t="s">
        <v>4573</v>
      </c>
      <c r="AJ128" s="88">
        <v>39327293</v>
      </c>
      <c r="AK128" s="87">
        <v>4</v>
      </c>
      <c r="AL128" s="147">
        <f t="shared" si="46"/>
        <v>390</v>
      </c>
      <c r="AM128" s="186">
        <f t="shared" si="43"/>
        <v>15337644270</v>
      </c>
      <c r="AN128" s="87" t="s">
        <v>4582</v>
      </c>
    </row>
    <row r="129" spans="7:43">
      <c r="G129" s="41"/>
      <c r="H129" s="41"/>
      <c r="I129" s="41"/>
      <c r="J129" s="41"/>
      <c r="K129" s="255" t="s">
        <v>1070</v>
      </c>
      <c r="L129" s="167">
        <v>1100000</v>
      </c>
      <c r="M129" s="167">
        <v>3400000</v>
      </c>
      <c r="N129" s="166">
        <f t="shared" si="41"/>
        <v>209.09090909090909</v>
      </c>
      <c r="Q129" s="167">
        <v>38464647</v>
      </c>
      <c r="R129" s="210" t="s">
        <v>5683</v>
      </c>
      <c r="S129" s="210">
        <f>S128-14</f>
        <v>-3</v>
      </c>
      <c r="T129" s="210" t="s">
        <v>5684</v>
      </c>
      <c r="U129" s="210">
        <v>18705.099999999999</v>
      </c>
      <c r="V129" s="97">
        <f>U129*(1+$R$93+$Q$15*S129/36500)</f>
        <v>18946.370166575343</v>
      </c>
      <c r="W129" s="32">
        <f t="shared" si="44"/>
        <v>19325.297569906852</v>
      </c>
      <c r="X129" s="32">
        <f t="shared" si="45"/>
        <v>19704.224973238357</v>
      </c>
      <c r="Y129" t="s">
        <v>25</v>
      </c>
      <c r="Z129" t="s">
        <v>25</v>
      </c>
      <c r="AH129" s="87">
        <v>109</v>
      </c>
      <c r="AI129" s="88" t="s">
        <v>4596</v>
      </c>
      <c r="AJ129" s="88">
        <v>8749050</v>
      </c>
      <c r="AK129" s="87">
        <v>1</v>
      </c>
      <c r="AL129" s="87">
        <f t="shared" si="46"/>
        <v>386</v>
      </c>
      <c r="AM129" s="88">
        <f t="shared" si="43"/>
        <v>3377133300</v>
      </c>
      <c r="AN129" s="87" t="s">
        <v>4597</v>
      </c>
    </row>
    <row r="130" spans="7:43">
      <c r="G130" s="210" t="s">
        <v>25</v>
      </c>
      <c r="H130" s="210" t="s">
        <v>5674</v>
      </c>
      <c r="I130" s="213" t="s">
        <v>5567</v>
      </c>
      <c r="J130" s="1">
        <v>50000000</v>
      </c>
      <c r="K130" s="236" t="s">
        <v>5419</v>
      </c>
      <c r="Q130" s="167">
        <v>63196587</v>
      </c>
      <c r="R130" s="210" t="s">
        <v>5685</v>
      </c>
      <c r="S130" s="210">
        <f>S129-1</f>
        <v>-4</v>
      </c>
      <c r="T130" s="210" t="s">
        <v>5686</v>
      </c>
      <c r="U130" s="210">
        <v>15562.8</v>
      </c>
      <c r="V130" s="97">
        <f>U130*(1+$R$93+$Q$15*S130/36500)</f>
        <v>15751.60021479452</v>
      </c>
      <c r="W130" s="32">
        <f t="shared" si="44"/>
        <v>16066.63221909041</v>
      </c>
      <c r="X130" s="32">
        <f t="shared" si="45"/>
        <v>16381.664223386302</v>
      </c>
      <c r="Z130" t="s">
        <v>25</v>
      </c>
      <c r="AH130" s="97">
        <v>110</v>
      </c>
      <c r="AI130" s="111" t="s">
        <v>4598</v>
      </c>
      <c r="AJ130" s="111">
        <v>60000</v>
      </c>
      <c r="AK130" s="97">
        <v>1</v>
      </c>
      <c r="AL130" s="97">
        <f t="shared" si="46"/>
        <v>385</v>
      </c>
      <c r="AM130" s="115">
        <f t="shared" si="43"/>
        <v>23100000</v>
      </c>
      <c r="AN130" s="97" t="s">
        <v>4599</v>
      </c>
    </row>
    <row r="131" spans="7:43">
      <c r="G131" s="210">
        <f>P49</f>
        <v>19234.599999999999</v>
      </c>
      <c r="H131" s="210" t="s">
        <v>4363</v>
      </c>
      <c r="I131" s="210">
        <v>4386</v>
      </c>
      <c r="J131" s="111">
        <f>G131*I131</f>
        <v>84362955.599999994</v>
      </c>
      <c r="K131" s="236" t="s">
        <v>4521</v>
      </c>
      <c r="Q131" s="167">
        <v>1734602382</v>
      </c>
      <c r="R131" s="210" t="s">
        <v>5685</v>
      </c>
      <c r="S131" s="210">
        <f>S130</f>
        <v>-4</v>
      </c>
      <c r="T131" s="210" t="s">
        <v>5687</v>
      </c>
      <c r="U131" s="210">
        <v>18150.3</v>
      </c>
      <c r="V131" s="97">
        <f>U131*(1+$R$93+$Q$15*S131/36500)</f>
        <v>18370.490488767122</v>
      </c>
      <c r="W131" s="32">
        <f t="shared" si="44"/>
        <v>18737.900298542463</v>
      </c>
      <c r="X131" s="32">
        <f t="shared" si="45"/>
        <v>19105.310108317808</v>
      </c>
      <c r="Y131" t="s">
        <v>25</v>
      </c>
      <c r="AH131" s="20">
        <v>111</v>
      </c>
      <c r="AI131" s="115" t="s">
        <v>4607</v>
      </c>
      <c r="AJ131" s="115">
        <v>4750000</v>
      </c>
      <c r="AK131" s="20">
        <v>0</v>
      </c>
      <c r="AL131" s="97">
        <f t="shared" si="46"/>
        <v>384</v>
      </c>
      <c r="AM131" s="115">
        <f t="shared" si="43"/>
        <v>1824000000</v>
      </c>
      <c r="AN131" s="20"/>
      <c r="AQ131" t="s">
        <v>25</v>
      </c>
    </row>
    <row r="132" spans="7:43">
      <c r="G132" s="210">
        <v>1</v>
      </c>
      <c r="H132" s="210" t="s">
        <v>5563</v>
      </c>
      <c r="I132" s="210">
        <v>654098</v>
      </c>
      <c r="J132" s="111">
        <f>G132*I132</f>
        <v>654098</v>
      </c>
      <c r="K132" s="236" t="s">
        <v>4522</v>
      </c>
      <c r="P132" t="s">
        <v>25</v>
      </c>
      <c r="Q132" s="167">
        <v>212825159</v>
      </c>
      <c r="R132" s="210" t="s">
        <v>5688</v>
      </c>
      <c r="S132" s="210">
        <f>S131-1</f>
        <v>-5</v>
      </c>
      <c r="T132" s="210" t="s">
        <v>5692</v>
      </c>
      <c r="U132" s="210">
        <v>17592.099999999999</v>
      </c>
      <c r="V132" s="97">
        <f>U132*(1+$R$93+$Q$15*S132/36500)</f>
        <v>17792.023372054795</v>
      </c>
      <c r="W132" s="32">
        <f t="shared" si="44"/>
        <v>18147.863839495891</v>
      </c>
      <c r="X132" s="32">
        <f t="shared" si="45"/>
        <v>18503.704306936987</v>
      </c>
      <c r="Y132" t="s">
        <v>25</v>
      </c>
      <c r="AH132" s="87">
        <v>112</v>
      </c>
      <c r="AI132" s="88" t="s">
        <v>4607</v>
      </c>
      <c r="AJ132" s="88">
        <v>13101160</v>
      </c>
      <c r="AK132" s="87">
        <v>1</v>
      </c>
      <c r="AL132" s="87">
        <f t="shared" si="46"/>
        <v>384</v>
      </c>
      <c r="AM132" s="88">
        <f t="shared" si="43"/>
        <v>5030845440</v>
      </c>
      <c r="AN132" s="87" t="s">
        <v>4610</v>
      </c>
    </row>
    <row r="133" spans="7:43">
      <c r="G133" s="210"/>
      <c r="H133" s="210"/>
      <c r="I133" s="210"/>
      <c r="J133" s="111"/>
      <c r="Q133" s="167">
        <v>109214961.73235209</v>
      </c>
      <c r="R133" s="210" t="s">
        <v>5688</v>
      </c>
      <c r="S133" s="210">
        <f>S132</f>
        <v>-5</v>
      </c>
      <c r="T133" s="210" t="s">
        <v>5713</v>
      </c>
      <c r="U133" s="210">
        <v>14894.2</v>
      </c>
      <c r="V133" s="97">
        <f>U133*(1+$R$93+$Q$15*S133/36500)</f>
        <v>15063.463401643838</v>
      </c>
      <c r="W133" s="32">
        <f t="shared" si="44"/>
        <v>15364.732669676714</v>
      </c>
      <c r="X133" s="32">
        <f t="shared" si="45"/>
        <v>15666.001937709592</v>
      </c>
      <c r="AH133" s="20">
        <v>113</v>
      </c>
      <c r="AI133" s="115" t="s">
        <v>4609</v>
      </c>
      <c r="AJ133" s="115">
        <v>-980000</v>
      </c>
      <c r="AK133" s="20">
        <v>0</v>
      </c>
      <c r="AL133" s="97">
        <f t="shared" si="46"/>
        <v>383</v>
      </c>
      <c r="AM133" s="115">
        <f t="shared" si="43"/>
        <v>-375340000</v>
      </c>
      <c r="AN133" s="20"/>
    </row>
    <row r="134" spans="7:43">
      <c r="G134" s="210"/>
      <c r="H134" s="210" t="s">
        <v>938</v>
      </c>
      <c r="I134" s="186">
        <f>J131+J132-J130</f>
        <v>35017053.599999994</v>
      </c>
      <c r="J134" s="210"/>
      <c r="Q134" s="167">
        <v>47977040</v>
      </c>
      <c r="R134" s="210" t="s">
        <v>5711</v>
      </c>
      <c r="S134" s="210">
        <f>S133-6</f>
        <v>-11</v>
      </c>
      <c r="T134" s="210" t="s">
        <v>5712</v>
      </c>
      <c r="U134" s="210">
        <v>18510</v>
      </c>
      <c r="V134" s="97">
        <f>U134*(1+$R$93+$Q$15*S134/36500)</f>
        <v>18635.158027397265</v>
      </c>
      <c r="W134" s="32">
        <f t="shared" si="44"/>
        <v>19007.861187945211</v>
      </c>
      <c r="X134" s="32">
        <f t="shared" si="45"/>
        <v>19380.564348493157</v>
      </c>
      <c r="Y134" t="s">
        <v>25</v>
      </c>
      <c r="AH134" s="87">
        <v>114</v>
      </c>
      <c r="AI134" s="88" t="s">
        <v>4609</v>
      </c>
      <c r="AJ134" s="88">
        <v>13301790</v>
      </c>
      <c r="AK134" s="87">
        <v>0</v>
      </c>
      <c r="AL134" s="87">
        <f t="shared" si="46"/>
        <v>383</v>
      </c>
      <c r="AM134" s="88">
        <f t="shared" si="43"/>
        <v>5094585570</v>
      </c>
      <c r="AN134" s="87" t="s">
        <v>4610</v>
      </c>
      <c r="AQ134" t="s">
        <v>25</v>
      </c>
    </row>
    <row r="135" spans="7:43">
      <c r="Q135" s="167"/>
      <c r="R135" s="210"/>
      <c r="S135" s="210"/>
      <c r="T135" s="210"/>
      <c r="U135" s="210"/>
      <c r="V135" s="97"/>
      <c r="W135" s="32"/>
      <c r="X135" s="32"/>
      <c r="AH135" s="20">
        <v>115</v>
      </c>
      <c r="AI135" s="115" t="s">
        <v>4609</v>
      </c>
      <c r="AJ135" s="115">
        <v>404000</v>
      </c>
      <c r="AK135" s="20">
        <v>5</v>
      </c>
      <c r="AL135" s="97">
        <f t="shared" si="46"/>
        <v>383</v>
      </c>
      <c r="AM135" s="115">
        <f t="shared" si="43"/>
        <v>154732000</v>
      </c>
      <c r="AN135" s="20" t="s">
        <v>4616</v>
      </c>
    </row>
    <row r="136" spans="7:43">
      <c r="Q136" s="167" t="s">
        <v>25</v>
      </c>
      <c r="R136" s="210"/>
      <c r="S136" s="210"/>
      <c r="T136" s="210"/>
      <c r="U136" s="210"/>
      <c r="V136" s="97">
        <f>U136*(1+$R$93+$Q$15*S136/36500)</f>
        <v>0</v>
      </c>
      <c r="W136" s="32">
        <f t="shared" si="44"/>
        <v>0</v>
      </c>
      <c r="X136" s="32">
        <f t="shared" si="45"/>
        <v>0</v>
      </c>
      <c r="Y136" t="s">
        <v>25</v>
      </c>
      <c r="AH136" s="87">
        <v>116</v>
      </c>
      <c r="AI136" s="88" t="s">
        <v>4626</v>
      </c>
      <c r="AJ136" s="88">
        <v>4291628</v>
      </c>
      <c r="AK136" s="87">
        <v>2</v>
      </c>
      <c r="AL136" s="87">
        <f t="shared" si="46"/>
        <v>378</v>
      </c>
      <c r="AM136" s="88">
        <f t="shared" si="43"/>
        <v>1622235384</v>
      </c>
      <c r="AN136" s="87" t="s">
        <v>4627</v>
      </c>
    </row>
    <row r="137" spans="7:43">
      <c r="G137" s="210"/>
      <c r="H137" s="210" t="s">
        <v>5672</v>
      </c>
      <c r="I137" s="213" t="s">
        <v>5572</v>
      </c>
      <c r="J137" s="1">
        <v>36319143</v>
      </c>
      <c r="K137" t="s">
        <v>25</v>
      </c>
      <c r="Q137" s="167"/>
      <c r="R137" s="166"/>
      <c r="S137" s="166"/>
      <c r="T137" s="166"/>
      <c r="U137" s="166"/>
      <c r="V137" s="97">
        <f>U137*(1+$R$93+$Q$15*S137/36500)</f>
        <v>0</v>
      </c>
      <c r="W137" s="32">
        <f t="shared" si="44"/>
        <v>0</v>
      </c>
      <c r="X137" s="32">
        <f t="shared" si="45"/>
        <v>0</v>
      </c>
      <c r="Y137" t="s">
        <v>25</v>
      </c>
      <c r="Z137" t="s">
        <v>25</v>
      </c>
      <c r="AH137" s="20">
        <v>117</v>
      </c>
      <c r="AI137" s="115" t="s">
        <v>4629</v>
      </c>
      <c r="AJ137" s="115">
        <v>1000</v>
      </c>
      <c r="AK137" s="20">
        <v>5</v>
      </c>
      <c r="AL137" s="20">
        <f t="shared" si="46"/>
        <v>376</v>
      </c>
      <c r="AM137" s="115">
        <f t="shared" si="43"/>
        <v>376000</v>
      </c>
      <c r="AN137" s="20"/>
    </row>
    <row r="138" spans="7:43">
      <c r="G138" s="1">
        <f>P52</f>
        <v>2290</v>
      </c>
      <c r="H138" s="210" t="s">
        <v>4221</v>
      </c>
      <c r="I138" s="210">
        <v>68595</v>
      </c>
      <c r="J138" s="1">
        <f>G138*I138</f>
        <v>157082550</v>
      </c>
      <c r="Q138" s="111">
        <f>SUM(N44:N54)-SUM(Q97:Q137)</f>
        <v>1118112825.3417053</v>
      </c>
      <c r="R138" s="110"/>
      <c r="S138" s="110"/>
      <c r="T138" s="110"/>
      <c r="U138" s="166"/>
      <c r="V138" s="97" t="s">
        <v>25</v>
      </c>
      <c r="W138" s="32"/>
      <c r="X138" s="32"/>
      <c r="Y138" t="s">
        <v>25</v>
      </c>
      <c r="AH138" s="119">
        <v>118</v>
      </c>
      <c r="AI138" s="77" t="s">
        <v>4637</v>
      </c>
      <c r="AJ138" s="77">
        <v>8739459</v>
      </c>
      <c r="AK138" s="119">
        <v>2</v>
      </c>
      <c r="AL138" s="119">
        <f t="shared" si="46"/>
        <v>371</v>
      </c>
      <c r="AM138" s="77">
        <f t="shared" si="43"/>
        <v>3242339289</v>
      </c>
      <c r="AN138" s="119" t="s">
        <v>4597</v>
      </c>
    </row>
    <row r="139" spans="7:43">
      <c r="G139" s="210">
        <f>P49</f>
        <v>19234.599999999999</v>
      </c>
      <c r="H139" s="210" t="s">
        <v>4363</v>
      </c>
      <c r="I139" s="210">
        <v>1703</v>
      </c>
      <c r="J139" s="1">
        <f>G139*I139</f>
        <v>32756523.799999997</v>
      </c>
      <c r="K139" t="s">
        <v>25</v>
      </c>
      <c r="P139" t="s">
        <v>25</v>
      </c>
      <c r="Q139" s="26"/>
      <c r="R139" s="179"/>
      <c r="S139" s="179"/>
      <c r="T139" t="s">
        <v>25</v>
      </c>
      <c r="U139" s="94" t="s">
        <v>25</v>
      </c>
      <c r="V139" s="94" t="s">
        <v>25</v>
      </c>
      <c r="W139" s="94" t="s">
        <v>25</v>
      </c>
      <c r="AH139" s="119">
        <v>119</v>
      </c>
      <c r="AI139" s="77" t="s">
        <v>4638</v>
      </c>
      <c r="AJ139" s="77">
        <v>17595278</v>
      </c>
      <c r="AK139" s="119">
        <v>1</v>
      </c>
      <c r="AL139" s="119">
        <f t="shared" si="46"/>
        <v>369</v>
      </c>
      <c r="AM139" s="77">
        <f t="shared" si="43"/>
        <v>6492657582</v>
      </c>
      <c r="AN139" s="119" t="s">
        <v>4640</v>
      </c>
      <c r="AQ139" t="s">
        <v>25</v>
      </c>
    </row>
    <row r="140" spans="7:43">
      <c r="G140" s="210"/>
      <c r="H140" s="210"/>
      <c r="I140" s="186">
        <f>J140-J137</f>
        <v>153519930.80000001</v>
      </c>
      <c r="J140" s="1">
        <f>SUM(J138:J139)</f>
        <v>189839073.80000001</v>
      </c>
      <c r="O140" s="94"/>
      <c r="R140" s="32" t="s">
        <v>4524</v>
      </c>
      <c r="S140" s="32" t="s">
        <v>935</v>
      </c>
      <c r="T140" t="s">
        <v>25</v>
      </c>
      <c r="U140" s="94" t="s">
        <v>25</v>
      </c>
      <c r="V140" s="94" t="s">
        <v>25</v>
      </c>
      <c r="W140" s="94" t="s">
        <v>25</v>
      </c>
      <c r="X140" s="120" t="s">
        <v>25</v>
      </c>
      <c r="Y140" t="s">
        <v>25</v>
      </c>
      <c r="Z140" t="s">
        <v>25</v>
      </c>
      <c r="AH140" s="119">
        <v>120</v>
      </c>
      <c r="AI140" s="77" t="s">
        <v>4639</v>
      </c>
      <c r="AJ140" s="77">
        <v>13335309</v>
      </c>
      <c r="AK140" s="119">
        <v>13</v>
      </c>
      <c r="AL140" s="119">
        <f t="shared" si="46"/>
        <v>368</v>
      </c>
      <c r="AM140" s="77">
        <f t="shared" si="43"/>
        <v>4907393712</v>
      </c>
      <c r="AN140" s="119" t="s">
        <v>4610</v>
      </c>
    </row>
    <row r="141" spans="7:43">
      <c r="G141" s="210"/>
      <c r="H141" s="210"/>
      <c r="I141" s="210" t="s">
        <v>902</v>
      </c>
      <c r="J141" s="210" t="s">
        <v>6</v>
      </c>
      <c r="R141" s="32">
        <v>589483</v>
      </c>
      <c r="S141" s="167">
        <v>115753001.45769507</v>
      </c>
      <c r="T141" t="s">
        <v>25</v>
      </c>
      <c r="U141" s="94" t="s">
        <v>25</v>
      </c>
      <c r="V141" s="120" t="s">
        <v>25</v>
      </c>
      <c r="W141" s="94" t="s">
        <v>25</v>
      </c>
      <c r="X141" t="s">
        <v>25</v>
      </c>
      <c r="Y141" t="s">
        <v>25</v>
      </c>
      <c r="AA141" t="s">
        <v>25</v>
      </c>
      <c r="AH141" s="159">
        <v>121</v>
      </c>
      <c r="AI141" s="224" t="s">
        <v>4690</v>
      </c>
      <c r="AJ141" s="224">
        <v>50000000</v>
      </c>
      <c r="AK141" s="159">
        <v>11</v>
      </c>
      <c r="AL141" s="159">
        <f t="shared" si="46"/>
        <v>355</v>
      </c>
      <c r="AM141" s="224">
        <f t="shared" si="43"/>
        <v>17750000000</v>
      </c>
      <c r="AN141" s="159" t="s">
        <v>4692</v>
      </c>
      <c r="AP141" t="s">
        <v>25</v>
      </c>
    </row>
    <row r="142" spans="7:43">
      <c r="G142" s="41"/>
      <c r="H142" s="41"/>
      <c r="I142" s="41"/>
      <c r="J142" s="41"/>
      <c r="K142" t="s">
        <v>25</v>
      </c>
      <c r="Q142" t="s">
        <v>25</v>
      </c>
      <c r="R142" s="32">
        <v>169303</v>
      </c>
      <c r="S142" s="1">
        <f>S141*R142/R141</f>
        <v>33244945.835235536</v>
      </c>
      <c r="T142" s="112" t="s">
        <v>25</v>
      </c>
      <c r="U142" s="94" t="s">
        <v>25</v>
      </c>
      <c r="V142" s="120" t="s">
        <v>25</v>
      </c>
      <c r="W142" s="94" t="s">
        <v>25</v>
      </c>
      <c r="X142" t="s">
        <v>25</v>
      </c>
      <c r="Y142" t="s">
        <v>25</v>
      </c>
      <c r="Z142" t="s">
        <v>25</v>
      </c>
      <c r="AH142" s="20">
        <v>122</v>
      </c>
      <c r="AI142" s="115" t="s">
        <v>959</v>
      </c>
      <c r="AJ142" s="115">
        <v>30000</v>
      </c>
      <c r="AK142" s="20">
        <v>3</v>
      </c>
      <c r="AL142" s="20">
        <f t="shared" si="46"/>
        <v>344</v>
      </c>
      <c r="AM142" s="115">
        <f t="shared" si="43"/>
        <v>10320000</v>
      </c>
      <c r="AN142" s="20"/>
    </row>
    <row r="143" spans="7:43">
      <c r="G143" s="210"/>
      <c r="H143" s="210" t="s">
        <v>5673</v>
      </c>
      <c r="I143" s="213" t="s">
        <v>5098</v>
      </c>
      <c r="J143" s="1">
        <v>10000000</v>
      </c>
      <c r="P143" t="s">
        <v>25</v>
      </c>
      <c r="R143" s="32">
        <f>R141-R142</f>
        <v>420180</v>
      </c>
      <c r="S143" s="1">
        <f>R143*S141/R141</f>
        <v>82508055.622459531</v>
      </c>
      <c r="T143" t="s">
        <v>25</v>
      </c>
      <c r="U143" s="120" t="s">
        <v>25</v>
      </c>
      <c r="V143" s="94"/>
      <c r="W143" s="120" t="s">
        <v>25</v>
      </c>
      <c r="X143" t="s">
        <v>25</v>
      </c>
      <c r="Y143" t="s">
        <v>25</v>
      </c>
      <c r="AH143" s="20">
        <v>123</v>
      </c>
      <c r="AI143" s="115" t="s">
        <v>4751</v>
      </c>
      <c r="AJ143" s="115">
        <v>600000</v>
      </c>
      <c r="AK143" s="20">
        <v>1</v>
      </c>
      <c r="AL143" s="20">
        <f t="shared" si="46"/>
        <v>341</v>
      </c>
      <c r="AM143" s="115">
        <f t="shared" si="43"/>
        <v>204600000</v>
      </c>
      <c r="AN143" s="20"/>
    </row>
    <row r="144" spans="7:43">
      <c r="G144" s="210"/>
      <c r="H144" s="210" t="s">
        <v>338</v>
      </c>
      <c r="I144" s="210"/>
      <c r="J144" s="1">
        <v>10000000</v>
      </c>
      <c r="T144" t="s">
        <v>25</v>
      </c>
      <c r="V144" s="94"/>
      <c r="W144"/>
      <c r="X144" t="s">
        <v>25</v>
      </c>
      <c r="Y144" t="s">
        <v>25</v>
      </c>
      <c r="Z144" t="s">
        <v>25</v>
      </c>
      <c r="AH144" s="20">
        <v>124</v>
      </c>
      <c r="AI144" s="115" t="s">
        <v>4754</v>
      </c>
      <c r="AJ144" s="115">
        <v>30000</v>
      </c>
      <c r="AK144" s="20">
        <v>3</v>
      </c>
      <c r="AL144" s="20">
        <f t="shared" si="46"/>
        <v>340</v>
      </c>
      <c r="AM144" s="115">
        <f t="shared" si="43"/>
        <v>10200000</v>
      </c>
      <c r="AN144" s="20"/>
    </row>
    <row r="145" spans="5:44">
      <c r="G145" s="210"/>
      <c r="H145" s="210"/>
      <c r="I145" s="278">
        <f>J145-J143</f>
        <v>0</v>
      </c>
      <c r="J145" s="1">
        <f>SUM(J144:J144)</f>
        <v>10000000</v>
      </c>
      <c r="K145" s="94"/>
      <c r="L145" s="94"/>
      <c r="M145" t="s">
        <v>25</v>
      </c>
      <c r="Q145" s="94"/>
      <c r="R145" s="94"/>
      <c r="S145" s="94"/>
      <c r="T145" s="94"/>
      <c r="U145" s="317" t="s">
        <v>4410</v>
      </c>
      <c r="V145" s="317" t="s">
        <v>4423</v>
      </c>
      <c r="W145" s="317" t="s">
        <v>4424</v>
      </c>
      <c r="X145" t="s">
        <v>25</v>
      </c>
      <c r="Y145" s="120" t="s">
        <v>25</v>
      </c>
      <c r="AH145" s="20">
        <v>125</v>
      </c>
      <c r="AI145" s="115" t="s">
        <v>4760</v>
      </c>
      <c r="AJ145" s="115">
        <v>2250000</v>
      </c>
      <c r="AK145" s="20">
        <v>1</v>
      </c>
      <c r="AL145" s="20">
        <f t="shared" si="46"/>
        <v>337</v>
      </c>
      <c r="AM145" s="115">
        <f>AJ145*AL145</f>
        <v>758250000</v>
      </c>
      <c r="AN145" s="20"/>
      <c r="AR145" t="s">
        <v>25</v>
      </c>
    </row>
    <row r="146" spans="5:44">
      <c r="G146" s="210"/>
      <c r="H146" s="210"/>
      <c r="I146" s="210" t="s">
        <v>902</v>
      </c>
      <c r="J146" s="210" t="s">
        <v>6</v>
      </c>
      <c r="K146" s="94"/>
      <c r="Q146" s="94"/>
      <c r="R146" s="94"/>
      <c r="S146" s="94"/>
      <c r="T146" s="94"/>
      <c r="U146" s="317" t="s">
        <v>744</v>
      </c>
      <c r="V146" s="317">
        <v>1532073</v>
      </c>
      <c r="W146" s="88">
        <f>V146*$T$378</f>
        <v>4671572570.2496214</v>
      </c>
      <c r="Y146" s="120" t="s">
        <v>25</v>
      </c>
      <c r="AH146" s="23">
        <v>126</v>
      </c>
      <c r="AI146" s="35" t="s">
        <v>4765</v>
      </c>
      <c r="AJ146" s="35">
        <v>-31412200</v>
      </c>
      <c r="AK146" s="23">
        <v>1</v>
      </c>
      <c r="AL146" s="20">
        <f t="shared" si="46"/>
        <v>336</v>
      </c>
      <c r="AM146" s="35">
        <f>AJ146*AL146</f>
        <v>-10554499200</v>
      </c>
      <c r="AN146" s="23" t="s">
        <v>4753</v>
      </c>
    </row>
    <row r="147" spans="5:44">
      <c r="K147" s="94"/>
      <c r="L147" s="94"/>
      <c r="P147" s="112"/>
      <c r="T147" s="120" t="s">
        <v>25</v>
      </c>
      <c r="U147" s="317" t="s">
        <v>4412</v>
      </c>
      <c r="V147" s="317">
        <v>1998475</v>
      </c>
      <c r="W147" s="88">
        <f>V147*$T$378</f>
        <v>6093718114.1692419</v>
      </c>
      <c r="X147" s="94" t="s">
        <v>25</v>
      </c>
      <c r="Y147" s="120" t="s">
        <v>25</v>
      </c>
      <c r="Z147" s="94" t="s">
        <v>25</v>
      </c>
      <c r="AH147" s="20">
        <v>127</v>
      </c>
      <c r="AI147" s="115" t="s">
        <v>4774</v>
      </c>
      <c r="AJ147" s="115">
        <v>70000</v>
      </c>
      <c r="AK147" s="20">
        <v>9</v>
      </c>
      <c r="AL147" s="20">
        <f t="shared" si="46"/>
        <v>335</v>
      </c>
      <c r="AM147" s="115">
        <f>AJ147*AL147</f>
        <v>23450000</v>
      </c>
      <c r="AN147" s="20"/>
    </row>
    <row r="148" spans="5:44">
      <c r="K148" s="94"/>
      <c r="L148" s="94"/>
      <c r="M148" s="94"/>
      <c r="N148" s="94"/>
      <c r="O148" s="94"/>
      <c r="T148" s="94"/>
      <c r="U148" s="317" t="s">
        <v>4411</v>
      </c>
      <c r="V148" s="317">
        <v>52434</v>
      </c>
      <c r="W148" s="88">
        <f>V148*$T$378</f>
        <v>159880916.99838629</v>
      </c>
      <c r="X148" s="214"/>
      <c r="Z148" s="94" t="s">
        <v>25</v>
      </c>
      <c r="AH148" s="97">
        <v>128</v>
      </c>
      <c r="AI148" s="111" t="s">
        <v>4781</v>
      </c>
      <c r="AJ148" s="111">
        <v>20000</v>
      </c>
      <c r="AK148" s="97">
        <v>10</v>
      </c>
      <c r="AL148" s="20">
        <f t="shared" si="46"/>
        <v>326</v>
      </c>
      <c r="AM148" s="115">
        <f>AJ148*AL148</f>
        <v>6520000</v>
      </c>
      <c r="AN148" s="20"/>
      <c r="AP148" t="s">
        <v>25</v>
      </c>
    </row>
    <row r="149" spans="5:44">
      <c r="G149" s="210"/>
      <c r="H149" s="210" t="s">
        <v>5674</v>
      </c>
      <c r="I149" s="213" t="s">
        <v>5560</v>
      </c>
      <c r="J149" s="1">
        <v>150000000</v>
      </c>
      <c r="K149" s="94"/>
      <c r="L149" s="94"/>
      <c r="M149" s="94"/>
      <c r="N149" s="94"/>
      <c r="O149" s="94"/>
      <c r="Q149" t="s">
        <v>25</v>
      </c>
      <c r="R149" t="s">
        <v>25</v>
      </c>
      <c r="S149" t="s">
        <v>25</v>
      </c>
      <c r="T149" s="94" t="s">
        <v>25</v>
      </c>
      <c r="U149" s="317" t="s">
        <v>1071</v>
      </c>
      <c r="V149" s="317">
        <v>119863</v>
      </c>
      <c r="W149" s="88">
        <f>V149*$T$378</f>
        <v>365484348.97542769</v>
      </c>
      <c r="X149" s="113"/>
      <c r="Z149" s="94" t="s">
        <v>25</v>
      </c>
      <c r="AH149" s="97">
        <v>129</v>
      </c>
      <c r="AI149" s="111" t="s">
        <v>4801</v>
      </c>
      <c r="AJ149" s="111">
        <v>1000000</v>
      </c>
      <c r="AK149" s="97">
        <v>1</v>
      </c>
      <c r="AL149" s="20">
        <f t="shared" si="46"/>
        <v>316</v>
      </c>
      <c r="AM149" s="115">
        <f>AJ149*AL149</f>
        <v>316000000</v>
      </c>
      <c r="AN149" s="20"/>
    </row>
    <row r="150" spans="5:44">
      <c r="E150" s="121"/>
      <c r="G150" s="1">
        <f>P52</f>
        <v>2290</v>
      </c>
      <c r="H150" s="210" t="s">
        <v>4221</v>
      </c>
      <c r="I150" s="210">
        <v>33318</v>
      </c>
      <c r="J150" s="1">
        <f>G150*I150</f>
        <v>76298220</v>
      </c>
      <c r="K150" s="94"/>
      <c r="L150" s="94" t="s">
        <v>25</v>
      </c>
      <c r="M150" s="94"/>
      <c r="N150" s="94"/>
      <c r="O150" s="94"/>
      <c r="T150" s="94" t="s">
        <v>25</v>
      </c>
      <c r="U150" s="317" t="s">
        <v>5417</v>
      </c>
      <c r="V150" s="317">
        <v>2258</v>
      </c>
      <c r="W150" s="88">
        <f>V150*$T$378</f>
        <v>6885057.6073226575</v>
      </c>
      <c r="X150" s="113"/>
      <c r="Y150" t="s">
        <v>25</v>
      </c>
      <c r="Z150" s="94"/>
      <c r="AA150" s="112"/>
      <c r="AC150" s="112"/>
      <c r="AD150" s="112"/>
      <c r="AH150" s="97">
        <v>130</v>
      </c>
      <c r="AI150" s="111" t="s">
        <v>4802</v>
      </c>
      <c r="AJ150" s="111">
        <v>65630227</v>
      </c>
      <c r="AK150" s="97">
        <v>0</v>
      </c>
      <c r="AL150" s="20">
        <f t="shared" si="46"/>
        <v>315</v>
      </c>
      <c r="AM150" s="115">
        <f t="shared" ref="AM150:AM177" si="47">AJ150*AL150</f>
        <v>20673521505</v>
      </c>
      <c r="AN150" s="20" t="s">
        <v>4805</v>
      </c>
      <c r="AP150" t="s">
        <v>25</v>
      </c>
      <c r="AR150" t="s">
        <v>25</v>
      </c>
    </row>
    <row r="151" spans="5:44">
      <c r="G151" s="1">
        <f>P49</f>
        <v>19234.599999999999</v>
      </c>
      <c r="H151" s="210" t="s">
        <v>4363</v>
      </c>
      <c r="I151" s="210">
        <v>16447</v>
      </c>
      <c r="J151" s="1">
        <f>G151*I151</f>
        <v>316351466.19999999</v>
      </c>
      <c r="K151" s="94">
        <f>I151+2831</f>
        <v>19278</v>
      </c>
      <c r="L151" s="94"/>
      <c r="M151" s="94"/>
      <c r="N151" s="94"/>
      <c r="O151" s="94"/>
      <c r="S151" t="s">
        <v>25</v>
      </c>
      <c r="T151" s="94" t="s">
        <v>25</v>
      </c>
      <c r="U151" s="317"/>
      <c r="V151" s="317"/>
      <c r="W151" s="317"/>
      <c r="X151" s="113"/>
      <c r="Y151" t="s">
        <v>25</v>
      </c>
      <c r="Z151" s="94" t="s">
        <v>25</v>
      </c>
      <c r="AA151" s="112"/>
      <c r="AC151" s="112"/>
      <c r="AH151" s="97">
        <v>131</v>
      </c>
      <c r="AI151" s="111" t="s">
        <v>4802</v>
      </c>
      <c r="AJ151" s="111">
        <v>-3500000</v>
      </c>
      <c r="AK151" s="97">
        <v>6</v>
      </c>
      <c r="AL151" s="20">
        <f t="shared" si="46"/>
        <v>315</v>
      </c>
      <c r="AM151" s="115">
        <f t="shared" si="47"/>
        <v>-1102500000</v>
      </c>
      <c r="AN151" s="20" t="s">
        <v>4804</v>
      </c>
    </row>
    <row r="152" spans="5:44">
      <c r="G152" s="210"/>
      <c r="H152" s="210"/>
      <c r="I152" s="210"/>
      <c r="J152" s="1"/>
      <c r="K152" s="94"/>
      <c r="L152" s="94"/>
      <c r="N152" s="94"/>
      <c r="O152" s="94"/>
      <c r="S152" t="s">
        <v>25</v>
      </c>
      <c r="T152" s="94"/>
      <c r="U152" s="87"/>
      <c r="V152" s="87"/>
      <c r="W152" s="87"/>
      <c r="X152" s="112"/>
      <c r="Y152" t="s">
        <v>25</v>
      </c>
      <c r="Z152" s="94"/>
      <c r="AA152" s="112"/>
      <c r="AC152" s="112"/>
      <c r="AD152" s="112"/>
      <c r="AH152" s="97">
        <v>132</v>
      </c>
      <c r="AI152" s="111" t="s">
        <v>4814</v>
      </c>
      <c r="AJ152" s="111">
        <v>2520000</v>
      </c>
      <c r="AK152" s="97">
        <v>12</v>
      </c>
      <c r="AL152" s="20">
        <f t="shared" si="46"/>
        <v>309</v>
      </c>
      <c r="AM152" s="115">
        <f t="shared" si="47"/>
        <v>778680000</v>
      </c>
      <c r="AN152" s="20"/>
    </row>
    <row r="153" spans="5:44">
      <c r="G153" s="210"/>
      <c r="H153" s="111"/>
      <c r="I153" s="278">
        <f>J153-J149</f>
        <v>242649686.19999999</v>
      </c>
      <c r="J153" s="1">
        <f>SUM(J150:J151)</f>
        <v>392649686.19999999</v>
      </c>
      <c r="K153" s="94"/>
      <c r="L153" s="94"/>
      <c r="M153" s="94"/>
      <c r="N153" s="94"/>
      <c r="O153" s="94"/>
      <c r="Q153" t="s">
        <v>5718</v>
      </c>
      <c r="R153" s="93">
        <v>75177830</v>
      </c>
      <c r="T153" s="94"/>
      <c r="U153" s="87"/>
      <c r="V153" s="87"/>
      <c r="W153" s="87"/>
      <c r="X153" s="94"/>
      <c r="Y153" s="94" t="s">
        <v>25</v>
      </c>
      <c r="Z153" s="94" t="s">
        <v>25</v>
      </c>
      <c r="AH153" s="97">
        <v>133</v>
      </c>
      <c r="AI153" s="111" t="s">
        <v>4849</v>
      </c>
      <c r="AJ153" s="111">
        <v>1400000</v>
      </c>
      <c r="AK153" s="97">
        <v>4</v>
      </c>
      <c r="AL153" s="20">
        <f t="shared" si="46"/>
        <v>297</v>
      </c>
      <c r="AM153" s="115">
        <f t="shared" si="47"/>
        <v>415800000</v>
      </c>
      <c r="AN153" s="20"/>
    </row>
    <row r="154" spans="5:44">
      <c r="G154" s="210"/>
      <c r="H154" s="210"/>
      <c r="I154" s="210" t="s">
        <v>5513</v>
      </c>
      <c r="J154" s="210" t="s">
        <v>6</v>
      </c>
      <c r="K154" s="112"/>
      <c r="Q154" t="s">
        <v>5719</v>
      </c>
      <c r="R154" s="93">
        <v>26491830</v>
      </c>
      <c r="T154" s="94"/>
      <c r="U154" s="87"/>
      <c r="V154" s="87"/>
      <c r="W154" s="87"/>
      <c r="X154" s="94"/>
      <c r="Y154" s="120" t="s">
        <v>25</v>
      </c>
      <c r="Z154" s="120" t="s">
        <v>25</v>
      </c>
      <c r="AH154" s="97">
        <v>134</v>
      </c>
      <c r="AI154" s="111" t="s">
        <v>4871</v>
      </c>
      <c r="AJ154" s="111">
        <v>1550000</v>
      </c>
      <c r="AK154" s="97">
        <v>2</v>
      </c>
      <c r="AL154" s="20">
        <f t="shared" si="46"/>
        <v>293</v>
      </c>
      <c r="AM154" s="115">
        <f t="shared" si="47"/>
        <v>454150000</v>
      </c>
      <c r="AN154" s="20"/>
    </row>
    <row r="155" spans="5:44">
      <c r="P155" s="94"/>
      <c r="R155" s="93">
        <f>R153-R154</f>
        <v>48686000</v>
      </c>
      <c r="T155" s="94"/>
      <c r="U155" s="87"/>
      <c r="V155" s="87"/>
      <c r="W155" s="87"/>
      <c r="X155" s="94"/>
      <c r="Y155" s="120" t="s">
        <v>25</v>
      </c>
      <c r="Z155" s="94" t="s">
        <v>25</v>
      </c>
      <c r="AA155" t="s">
        <v>25</v>
      </c>
      <c r="AH155" s="97">
        <v>135</v>
      </c>
      <c r="AI155" s="111" t="s">
        <v>4821</v>
      </c>
      <c r="AJ155" s="111">
        <v>250000</v>
      </c>
      <c r="AK155" s="97">
        <v>6</v>
      </c>
      <c r="AL155" s="20">
        <f t="shared" si="46"/>
        <v>291</v>
      </c>
      <c r="AM155" s="115">
        <f t="shared" si="47"/>
        <v>72750000</v>
      </c>
      <c r="AN155" s="20"/>
    </row>
    <row r="156" spans="5:44">
      <c r="K156" s="274"/>
      <c r="L156" s="286"/>
      <c r="P156" s="94"/>
      <c r="T156" s="94"/>
      <c r="U156" s="87"/>
      <c r="V156" s="87" t="s">
        <v>4951</v>
      </c>
      <c r="W156" s="140">
        <f>W146-R163</f>
        <v>768344548.24962139</v>
      </c>
      <c r="X156" s="94"/>
      <c r="Y156" s="120" t="s">
        <v>25</v>
      </c>
      <c r="Z156" s="94"/>
      <c r="AH156" s="97">
        <v>136</v>
      </c>
      <c r="AI156" s="111" t="s">
        <v>4880</v>
      </c>
      <c r="AJ156" s="111">
        <v>-48527480</v>
      </c>
      <c r="AK156" s="97">
        <v>14</v>
      </c>
      <c r="AL156" s="20">
        <f t="shared" si="46"/>
        <v>285</v>
      </c>
      <c r="AM156" s="115">
        <f t="shared" si="47"/>
        <v>-13830331800</v>
      </c>
      <c r="AN156" s="20" t="s">
        <v>4882</v>
      </c>
    </row>
    <row r="157" spans="5:44">
      <c r="Q157" s="94"/>
      <c r="R157" s="94"/>
      <c r="S157" s="94"/>
      <c r="T157" s="94"/>
      <c r="U157" s="87"/>
      <c r="V157" s="87" t="s">
        <v>4952</v>
      </c>
      <c r="W157" s="140">
        <f>W149+W148-R164</f>
        <v>71652387.773814023</v>
      </c>
      <c r="X157" s="113"/>
      <c r="Y157" s="94"/>
      <c r="Z157" s="94"/>
      <c r="AH157" s="97">
        <v>137</v>
      </c>
      <c r="AI157" s="111" t="s">
        <v>4905</v>
      </c>
      <c r="AJ157" s="111">
        <v>2100000</v>
      </c>
      <c r="AK157" s="97">
        <v>1</v>
      </c>
      <c r="AL157" s="20">
        <f t="shared" si="46"/>
        <v>271</v>
      </c>
      <c r="AM157" s="115">
        <f t="shared" si="47"/>
        <v>569100000</v>
      </c>
      <c r="AN157" s="20"/>
    </row>
    <row r="158" spans="5:44">
      <c r="G158" s="97"/>
      <c r="H158" s="97"/>
      <c r="I158" s="97" t="s">
        <v>5505</v>
      </c>
      <c r="J158" s="1">
        <v>20000000</v>
      </c>
      <c r="S158" s="94"/>
      <c r="T158" s="94"/>
      <c r="V158" s="94"/>
      <c r="Y158" s="94"/>
      <c r="Z158" s="94"/>
      <c r="AH158" s="97">
        <v>138</v>
      </c>
      <c r="AI158" s="111" t="s">
        <v>4908</v>
      </c>
      <c r="AJ158" s="111">
        <v>100000</v>
      </c>
      <c r="AK158" s="97">
        <v>4</v>
      </c>
      <c r="AL158" s="20">
        <f>AL159+AK158</f>
        <v>270</v>
      </c>
      <c r="AM158" s="115">
        <f t="shared" si="47"/>
        <v>27000000</v>
      </c>
      <c r="AN158" s="20"/>
    </row>
    <row r="159" spans="5:44">
      <c r="G159" s="97">
        <f>P52</f>
        <v>2290</v>
      </c>
      <c r="H159" s="97" t="s">
        <v>4221</v>
      </c>
      <c r="I159" s="97">
        <v>30054</v>
      </c>
      <c r="J159" s="1">
        <f>G159*I159</f>
        <v>68823660</v>
      </c>
      <c r="S159" s="94"/>
      <c r="T159" s="94" t="s">
        <v>25</v>
      </c>
      <c r="V159" s="94"/>
      <c r="Y159" s="94" t="s">
        <v>25</v>
      </c>
      <c r="Z159" s="94"/>
      <c r="AH159" s="97">
        <v>139</v>
      </c>
      <c r="AI159" s="111" t="s">
        <v>4913</v>
      </c>
      <c r="AJ159" s="111">
        <v>900000</v>
      </c>
      <c r="AK159" s="97">
        <v>0</v>
      </c>
      <c r="AL159" s="20">
        <f t="shared" ref="AL159:AL168" si="48">AL160+AK159</f>
        <v>266</v>
      </c>
      <c r="AM159" s="115">
        <f t="shared" ref="AM159:AM168" si="49">AJ159*AL159</f>
        <v>239400000</v>
      </c>
      <c r="AN159" s="20"/>
      <c r="AP159" t="s">
        <v>25</v>
      </c>
    </row>
    <row r="160" spans="5:44">
      <c r="G160" s="97">
        <f>P49</f>
        <v>19234.599999999999</v>
      </c>
      <c r="H160" s="97" t="s">
        <v>4363</v>
      </c>
      <c r="I160" s="97">
        <v>1150</v>
      </c>
      <c r="J160" s="1">
        <f>G160*I160</f>
        <v>22119790</v>
      </c>
      <c r="N160" s="94"/>
      <c r="O160" s="94"/>
      <c r="P160" s="112"/>
      <c r="Q160" s="94"/>
      <c r="R160" s="94"/>
      <c r="S160" s="94"/>
      <c r="T160" s="94"/>
      <c r="V160" s="94"/>
      <c r="Y160" s="94"/>
      <c r="AH160" s="97">
        <v>140</v>
      </c>
      <c r="AI160" s="111" t="s">
        <v>4913</v>
      </c>
      <c r="AJ160" s="111">
        <v>1100000</v>
      </c>
      <c r="AK160" s="97">
        <v>0</v>
      </c>
      <c r="AL160" s="20">
        <f t="shared" si="48"/>
        <v>266</v>
      </c>
      <c r="AM160" s="115">
        <f t="shared" si="49"/>
        <v>292600000</v>
      </c>
      <c r="AN160" s="20" t="s">
        <v>4927</v>
      </c>
      <c r="AQ160" t="s">
        <v>25</v>
      </c>
    </row>
    <row r="161" spans="7:43">
      <c r="G161" s="97">
        <f>P45</f>
        <v>85200</v>
      </c>
      <c r="H161" s="97" t="s">
        <v>5278</v>
      </c>
      <c r="I161" s="97">
        <v>52</v>
      </c>
      <c r="J161" s="1">
        <f>G161*I161</f>
        <v>4430400</v>
      </c>
      <c r="N161" s="94"/>
      <c r="O161" s="94"/>
      <c r="P161" s="112"/>
      <c r="Q161" s="94"/>
      <c r="R161" s="94"/>
      <c r="S161" s="94"/>
      <c r="T161" s="97" t="s">
        <v>180</v>
      </c>
      <c r="U161" s="97" t="s">
        <v>4439</v>
      </c>
      <c r="V161" s="97" t="s">
        <v>4440</v>
      </c>
      <c r="W161" s="97" t="s">
        <v>4450</v>
      </c>
      <c r="X161" s="97" t="s">
        <v>8</v>
      </c>
      <c r="Y161" s="94"/>
      <c r="Z161" t="s">
        <v>25</v>
      </c>
      <c r="AH161" s="97">
        <v>141</v>
      </c>
      <c r="AI161" s="111" t="s">
        <v>4913</v>
      </c>
      <c r="AJ161" s="111">
        <v>115000</v>
      </c>
      <c r="AK161" s="97"/>
      <c r="AL161" s="20">
        <f t="shared" si="48"/>
        <v>266</v>
      </c>
      <c r="AM161" s="115">
        <f t="shared" si="49"/>
        <v>30590000</v>
      </c>
      <c r="AN161" s="20"/>
      <c r="AQ161" t="s">
        <v>25</v>
      </c>
    </row>
    <row r="162" spans="7:43">
      <c r="G162" s="97">
        <v>1</v>
      </c>
      <c r="H162" s="97" t="s">
        <v>5594</v>
      </c>
      <c r="I162" s="97">
        <v>0</v>
      </c>
      <c r="J162" s="1">
        <f>I162</f>
        <v>0</v>
      </c>
      <c r="N162" s="94"/>
      <c r="O162" s="94"/>
      <c r="P162" s="112"/>
      <c r="Q162" s="36" t="s">
        <v>4523</v>
      </c>
      <c r="R162" s="93">
        <f>SUM(N44:N54)</f>
        <v>6863312209.7999992</v>
      </c>
      <c r="T162" s="111" t="s">
        <v>4422</v>
      </c>
      <c r="U162" s="54">
        <v>1000000</v>
      </c>
      <c r="V162" s="111">
        <v>239.024</v>
      </c>
      <c r="W162" s="111">
        <f t="shared" ref="W162:W263" si="50">U162*V162</f>
        <v>239024000</v>
      </c>
      <c r="X162" s="97"/>
      <c r="Y162" s="94" t="s">
        <v>25</v>
      </c>
      <c r="AH162" s="97">
        <v>142</v>
      </c>
      <c r="AI162" s="111" t="s">
        <v>4921</v>
      </c>
      <c r="AJ162" s="111">
        <v>-1100000</v>
      </c>
      <c r="AK162" s="97"/>
      <c r="AL162" s="20">
        <f t="shared" si="48"/>
        <v>266</v>
      </c>
      <c r="AM162" s="115">
        <f t="shared" si="49"/>
        <v>-292600000</v>
      </c>
      <c r="AN162" s="20" t="s">
        <v>4928</v>
      </c>
      <c r="AQ162" t="s">
        <v>25</v>
      </c>
    </row>
    <row r="163" spans="7:43">
      <c r="G163" s="97"/>
      <c r="H163" s="97" t="s">
        <v>938</v>
      </c>
      <c r="I163" s="267">
        <f>J159+J160+J161+J162-J158</f>
        <v>75373850</v>
      </c>
      <c r="J163" s="1"/>
      <c r="K163" t="s">
        <v>25</v>
      </c>
      <c r="N163" s="94"/>
      <c r="O163" s="94"/>
      <c r="P163" s="112"/>
      <c r="Q163" s="97" t="s">
        <v>4413</v>
      </c>
      <c r="R163" s="93">
        <f>SUM(N21:N25)</f>
        <v>3903228022</v>
      </c>
      <c r="T163" s="166" t="s">
        <v>4404</v>
      </c>
      <c r="U163" s="54">
        <v>5904</v>
      </c>
      <c r="V163" s="111">
        <v>237.148</v>
      </c>
      <c r="W163" s="111">
        <f t="shared" si="50"/>
        <v>1400121.7919999999</v>
      </c>
      <c r="X163" s="97" t="s">
        <v>744</v>
      </c>
      <c r="Y163" s="120" t="s">
        <v>25</v>
      </c>
      <c r="AH163" s="97">
        <v>143</v>
      </c>
      <c r="AI163" s="111" t="s">
        <v>4921</v>
      </c>
      <c r="AJ163" s="111">
        <v>900000</v>
      </c>
      <c r="AK163" s="97">
        <v>1</v>
      </c>
      <c r="AL163" s="20">
        <f t="shared" si="48"/>
        <v>266</v>
      </c>
      <c r="AM163" s="115">
        <f t="shared" si="49"/>
        <v>239400000</v>
      </c>
      <c r="AN163" s="20" t="s">
        <v>4927</v>
      </c>
    </row>
    <row r="164" spans="7:43">
      <c r="N164" s="94"/>
      <c r="O164" s="94"/>
      <c r="Q164" s="97" t="s">
        <v>4414</v>
      </c>
      <c r="R164" s="93">
        <f>SUM(N28:N31)</f>
        <v>453712878.19999999</v>
      </c>
      <c r="T164" s="166" t="s">
        <v>4210</v>
      </c>
      <c r="U164" s="166">
        <v>1000</v>
      </c>
      <c r="V164" s="111">
        <v>247.393</v>
      </c>
      <c r="W164" s="111">
        <f t="shared" si="50"/>
        <v>247393</v>
      </c>
      <c r="X164" s="97" t="s">
        <v>744</v>
      </c>
      <c r="Y164" s="94" t="s">
        <v>25</v>
      </c>
      <c r="AH164" s="97">
        <v>144</v>
      </c>
      <c r="AI164" s="111" t="s">
        <v>4925</v>
      </c>
      <c r="AJ164" s="111">
        <v>2000000</v>
      </c>
      <c r="AK164" s="97">
        <v>0</v>
      </c>
      <c r="AL164" s="20">
        <f t="shared" si="48"/>
        <v>265</v>
      </c>
      <c r="AM164" s="115">
        <f t="shared" si="49"/>
        <v>530000000</v>
      </c>
      <c r="AN164" s="20"/>
    </row>
    <row r="165" spans="7:43">
      <c r="I165">
        <f>39042-I159</f>
        <v>8988</v>
      </c>
      <c r="J165" s="112">
        <f>I165*$G$159</f>
        <v>20582520</v>
      </c>
      <c r="N165" s="94"/>
      <c r="O165" s="94"/>
      <c r="P165" s="112"/>
      <c r="Q165" s="97" t="s">
        <v>4415</v>
      </c>
      <c r="R165" s="93">
        <f>N42</f>
        <v>12981</v>
      </c>
      <c r="T165" s="166" t="s">
        <v>4451</v>
      </c>
      <c r="U165" s="166">
        <v>8071</v>
      </c>
      <c r="V165" s="111">
        <v>247.797</v>
      </c>
      <c r="W165" s="111">
        <f t="shared" si="50"/>
        <v>1999969.5870000001</v>
      </c>
      <c r="X165" s="97" t="s">
        <v>4411</v>
      </c>
      <c r="Y165" s="94"/>
      <c r="Z165" t="s">
        <v>25</v>
      </c>
      <c r="AH165" s="97">
        <v>145</v>
      </c>
      <c r="AI165" s="111" t="s">
        <v>4925</v>
      </c>
      <c r="AJ165" s="111">
        <v>360000</v>
      </c>
      <c r="AK165" s="97">
        <v>1</v>
      </c>
      <c r="AL165" s="20">
        <f t="shared" si="48"/>
        <v>265</v>
      </c>
      <c r="AM165" s="115">
        <f t="shared" si="49"/>
        <v>95400000</v>
      </c>
      <c r="AN165" s="20"/>
    </row>
    <row r="166" spans="7:43">
      <c r="I166">
        <v>10107.271699999999</v>
      </c>
      <c r="J166" s="112">
        <f>I166*$G$159</f>
        <v>23145652.193</v>
      </c>
      <c r="N166" s="94"/>
      <c r="O166" s="94"/>
      <c r="P166" s="112"/>
      <c r="Q166" s="97" t="s">
        <v>4416</v>
      </c>
      <c r="R166" s="93">
        <f>N20</f>
        <v>5958</v>
      </c>
      <c r="T166" s="166" t="s">
        <v>4451</v>
      </c>
      <c r="U166" s="166">
        <v>53672</v>
      </c>
      <c r="V166" s="111">
        <v>247.797</v>
      </c>
      <c r="W166" s="111">
        <f t="shared" si="50"/>
        <v>13299760.584000001</v>
      </c>
      <c r="X166" s="97" t="s">
        <v>452</v>
      </c>
      <c r="Y166" t="s">
        <v>25</v>
      </c>
      <c r="Z166" t="s">
        <v>25</v>
      </c>
      <c r="AH166" s="97">
        <v>146</v>
      </c>
      <c r="AI166" s="111" t="s">
        <v>4926</v>
      </c>
      <c r="AJ166" s="111">
        <v>3000000</v>
      </c>
      <c r="AK166" s="97">
        <v>1</v>
      </c>
      <c r="AL166" s="20">
        <f t="shared" si="48"/>
        <v>264</v>
      </c>
      <c r="AM166" s="115">
        <f t="shared" si="49"/>
        <v>792000000</v>
      </c>
      <c r="AN166" s="20"/>
    </row>
    <row r="167" spans="7:43">
      <c r="I167">
        <f>I165-I166</f>
        <v>-1119.2716999999993</v>
      </c>
      <c r="J167" s="112">
        <f>I167*$G$159</f>
        <v>-2563132.1929999986</v>
      </c>
      <c r="L167" t="s">
        <v>25</v>
      </c>
      <c r="P167" s="112"/>
      <c r="Q167" s="97" t="s">
        <v>4417</v>
      </c>
      <c r="R167" s="93">
        <f>N27</f>
        <v>20000</v>
      </c>
      <c r="T167" s="166" t="s">
        <v>4459</v>
      </c>
      <c r="U167" s="166">
        <v>4099</v>
      </c>
      <c r="V167" s="111">
        <v>243.93</v>
      </c>
      <c r="W167" s="111">
        <f t="shared" si="50"/>
        <v>999869.07000000007</v>
      </c>
      <c r="X167" s="97" t="s">
        <v>4411</v>
      </c>
      <c r="Y167" t="s">
        <v>25</v>
      </c>
      <c r="AH167" s="97">
        <v>147</v>
      </c>
      <c r="AI167" s="111" t="s">
        <v>4924</v>
      </c>
      <c r="AJ167" s="111">
        <v>-658226</v>
      </c>
      <c r="AK167" s="97">
        <v>1</v>
      </c>
      <c r="AL167" s="20">
        <f t="shared" si="48"/>
        <v>263</v>
      </c>
      <c r="AM167" s="115">
        <f t="shared" si="49"/>
        <v>-173113438</v>
      </c>
      <c r="AN167" s="20"/>
    </row>
    <row r="168" spans="7:43">
      <c r="P168" s="112"/>
      <c r="Q168" s="97" t="s">
        <v>5562</v>
      </c>
      <c r="R168" s="93">
        <v>0</v>
      </c>
      <c r="S168" t="s">
        <v>25</v>
      </c>
      <c r="T168" s="166" t="s">
        <v>4459</v>
      </c>
      <c r="U168" s="166">
        <v>9301</v>
      </c>
      <c r="V168" s="111">
        <v>243.93</v>
      </c>
      <c r="W168" s="111">
        <f t="shared" si="50"/>
        <v>2268792.9300000002</v>
      </c>
      <c r="X168" s="97" t="s">
        <v>452</v>
      </c>
      <c r="Y168" t="s">
        <v>25</v>
      </c>
      <c r="Z168" t="s">
        <v>25</v>
      </c>
      <c r="AH168" s="97">
        <v>148</v>
      </c>
      <c r="AI168" s="111" t="s">
        <v>4929</v>
      </c>
      <c r="AJ168" s="111">
        <v>1000000</v>
      </c>
      <c r="AK168" s="97">
        <v>15</v>
      </c>
      <c r="AL168" s="20">
        <f t="shared" si="48"/>
        <v>262</v>
      </c>
      <c r="AM168" s="115">
        <f t="shared" si="49"/>
        <v>262000000</v>
      </c>
      <c r="AN168" s="20"/>
      <c r="AP168" t="s">
        <v>25</v>
      </c>
    </row>
    <row r="169" spans="7:43">
      <c r="J169" s="112">
        <f>J166-J161</f>
        <v>18715252.193</v>
      </c>
      <c r="N169" s="112"/>
      <c r="O169" s="112"/>
      <c r="Q169" s="97" t="s">
        <v>5085</v>
      </c>
      <c r="R169" s="93">
        <v>0</v>
      </c>
      <c r="T169" s="166" t="s">
        <v>4465</v>
      </c>
      <c r="U169" s="166">
        <v>8334</v>
      </c>
      <c r="V169" s="111">
        <v>239.97</v>
      </c>
      <c r="W169" s="111">
        <f t="shared" si="50"/>
        <v>1999909.98</v>
      </c>
      <c r="X169" s="97" t="s">
        <v>4411</v>
      </c>
      <c r="Y169" t="s">
        <v>25</v>
      </c>
      <c r="AH169" s="97">
        <v>149</v>
      </c>
      <c r="AI169" s="111" t="s">
        <v>4957</v>
      </c>
      <c r="AJ169" s="111">
        <v>1130250</v>
      </c>
      <c r="AK169" s="97">
        <v>5</v>
      </c>
      <c r="AL169" s="20">
        <f t="shared" si="46"/>
        <v>247</v>
      </c>
      <c r="AM169" s="115">
        <f t="shared" si="47"/>
        <v>279171750</v>
      </c>
      <c r="AN169" s="20"/>
    </row>
    <row r="170" spans="7:43">
      <c r="P170" s="112"/>
      <c r="Q170" s="97" t="s">
        <v>5700</v>
      </c>
      <c r="R170" s="93">
        <v>84555897</v>
      </c>
      <c r="S170" s="94"/>
      <c r="T170" s="166" t="s">
        <v>4209</v>
      </c>
      <c r="U170" s="166">
        <v>29041</v>
      </c>
      <c r="V170" s="111">
        <v>233.45</v>
      </c>
      <c r="W170" s="111">
        <f t="shared" si="50"/>
        <v>6779621.4499999993</v>
      </c>
      <c r="X170" s="97" t="s">
        <v>744</v>
      </c>
      <c r="Y170" t="s">
        <v>25</v>
      </c>
      <c r="AE170" s="94" t="s">
        <v>25</v>
      </c>
      <c r="AH170" s="97">
        <v>150</v>
      </c>
      <c r="AI170" s="111" t="s">
        <v>4965</v>
      </c>
      <c r="AJ170" s="111">
        <v>206000</v>
      </c>
      <c r="AK170" s="97">
        <v>2</v>
      </c>
      <c r="AL170" s="20">
        <f t="shared" si="46"/>
        <v>242</v>
      </c>
      <c r="AM170" s="115">
        <f t="shared" si="47"/>
        <v>49852000</v>
      </c>
      <c r="AN170" s="20"/>
    </row>
    <row r="171" spans="7:43">
      <c r="G171" s="32" t="s">
        <v>4221</v>
      </c>
      <c r="H171" s="32"/>
      <c r="I171" s="32" t="s">
        <v>4363</v>
      </c>
      <c r="N171" s="112"/>
      <c r="P171" s="112"/>
      <c r="Q171" s="97" t="s">
        <v>5701</v>
      </c>
      <c r="R171" s="93">
        <v>683050</v>
      </c>
      <c r="S171" s="94"/>
      <c r="T171" s="166" t="s">
        <v>979</v>
      </c>
      <c r="U171" s="166">
        <v>12337</v>
      </c>
      <c r="V171" s="111">
        <v>243.16300000000001</v>
      </c>
      <c r="W171" s="111">
        <f t="shared" si="50"/>
        <v>2999901.9310000003</v>
      </c>
      <c r="X171" s="97" t="s">
        <v>4411</v>
      </c>
      <c r="Z171" t="s">
        <v>25</v>
      </c>
      <c r="AH171" s="97">
        <v>151</v>
      </c>
      <c r="AI171" s="111" t="s">
        <v>4972</v>
      </c>
      <c r="AJ171" s="111">
        <v>50000</v>
      </c>
      <c r="AK171" s="97">
        <v>2</v>
      </c>
      <c r="AL171" s="20">
        <f t="shared" si="46"/>
        <v>240</v>
      </c>
      <c r="AM171" s="115">
        <f t="shared" si="47"/>
        <v>12000000</v>
      </c>
      <c r="AN171" s="20"/>
    </row>
    <row r="172" spans="7:43">
      <c r="G172" s="32">
        <f>O21+O31+O52+I150</f>
        <v>1082084</v>
      </c>
      <c r="H172" s="32" t="s">
        <v>5538</v>
      </c>
      <c r="I172" s="32">
        <f>O24+O28+O49+I151+O44</f>
        <v>324127</v>
      </c>
      <c r="J172" s="112">
        <f>I172*1000</f>
        <v>324127000</v>
      </c>
      <c r="K172" s="94"/>
      <c r="L172" s="94"/>
      <c r="P172" s="94"/>
      <c r="Q172" s="97"/>
      <c r="R172" s="93"/>
      <c r="T172" s="166" t="s">
        <v>4541</v>
      </c>
      <c r="U172" s="166">
        <v>-16118</v>
      </c>
      <c r="V172" s="111">
        <v>248.17</v>
      </c>
      <c r="W172" s="111">
        <f t="shared" si="50"/>
        <v>-4000004.0599999996</v>
      </c>
      <c r="X172" s="97" t="s">
        <v>744</v>
      </c>
      <c r="Y172" t="s">
        <v>25</v>
      </c>
      <c r="AH172" s="97">
        <v>152</v>
      </c>
      <c r="AI172" s="111" t="s">
        <v>4976</v>
      </c>
      <c r="AJ172" s="111">
        <v>105000</v>
      </c>
      <c r="AK172" s="97">
        <v>4</v>
      </c>
      <c r="AL172" s="20">
        <f t="shared" si="46"/>
        <v>238</v>
      </c>
      <c r="AM172" s="115">
        <f t="shared" si="47"/>
        <v>24990000</v>
      </c>
      <c r="AN172" s="20"/>
    </row>
    <row r="173" spans="7:43">
      <c r="G173" s="32">
        <f>(J151+N24+N25+N28+N48+N49+N44)/P52</f>
        <v>3861732.9319650652</v>
      </c>
      <c r="H173" s="294" t="s">
        <v>5539</v>
      </c>
      <c r="I173" s="32">
        <f>(J150+N52+N48+N31+N25+N21)/P49</f>
        <v>264465.47263785056</v>
      </c>
      <c r="J173" s="112">
        <v>-87000000</v>
      </c>
      <c r="K173" s="94"/>
      <c r="L173" s="94"/>
      <c r="O173" s="94"/>
      <c r="P173" s="112"/>
      <c r="Q173" s="97"/>
      <c r="R173" s="93"/>
      <c r="S173" s="94"/>
      <c r="T173" s="166" t="s">
        <v>4563</v>
      </c>
      <c r="U173" s="166">
        <v>101681</v>
      </c>
      <c r="V173" s="111">
        <v>246.5711</v>
      </c>
      <c r="W173" s="111">
        <f t="shared" si="50"/>
        <v>25071596.019099999</v>
      </c>
      <c r="X173" s="97" t="s">
        <v>452</v>
      </c>
      <c r="Y173" t="s">
        <v>25</v>
      </c>
      <c r="AH173" s="97">
        <v>153</v>
      </c>
      <c r="AI173" s="111" t="s">
        <v>4980</v>
      </c>
      <c r="AJ173" s="111">
        <v>5000000</v>
      </c>
      <c r="AK173" s="97">
        <v>1</v>
      </c>
      <c r="AL173" s="20">
        <f t="shared" si="46"/>
        <v>234</v>
      </c>
      <c r="AM173" s="115">
        <f t="shared" si="47"/>
        <v>1170000000</v>
      </c>
      <c r="AN173" s="20"/>
    </row>
    <row r="174" spans="7:43">
      <c r="G174" s="32">
        <f>G172+G173</f>
        <v>4943816.9319650652</v>
      </c>
      <c r="H174" s="32" t="s">
        <v>5540</v>
      </c>
      <c r="I174" s="32">
        <f>I172+I173</f>
        <v>588592.47263785056</v>
      </c>
      <c r="J174" s="112">
        <v>-10000000</v>
      </c>
      <c r="K174" s="94"/>
      <c r="L174" s="94"/>
      <c r="O174" s="94"/>
      <c r="P174" s="112"/>
      <c r="Q174" s="97" t="s">
        <v>5086</v>
      </c>
      <c r="R174" s="93">
        <v>0</v>
      </c>
      <c r="S174" s="113" t="s">
        <v>25</v>
      </c>
      <c r="T174" s="166" t="s">
        <v>4567</v>
      </c>
      <c r="U174" s="166">
        <v>66606</v>
      </c>
      <c r="V174" s="111">
        <v>251.131</v>
      </c>
      <c r="W174" s="111">
        <f t="shared" si="50"/>
        <v>16726831.386</v>
      </c>
      <c r="X174" s="97" t="s">
        <v>744</v>
      </c>
      <c r="Y174" t="s">
        <v>25</v>
      </c>
      <c r="Z174" t="s">
        <v>25</v>
      </c>
      <c r="AH174" s="97">
        <v>154</v>
      </c>
      <c r="AI174" s="111" t="s">
        <v>4981</v>
      </c>
      <c r="AJ174" s="111">
        <v>2500000</v>
      </c>
      <c r="AK174" s="97">
        <v>2</v>
      </c>
      <c r="AL174" s="20">
        <f t="shared" si="46"/>
        <v>233</v>
      </c>
      <c r="AM174" s="115">
        <f t="shared" si="47"/>
        <v>582500000</v>
      </c>
      <c r="AN174" s="20"/>
    </row>
    <row r="175" spans="7:43">
      <c r="G175" s="32">
        <f>(W148+W149+W150)/P52</f>
        <v>232423.7220878326</v>
      </c>
      <c r="H175" s="32" t="s">
        <v>5514</v>
      </c>
      <c r="I175" s="32">
        <f>(W148+W149+W150)/P49</f>
        <v>27671.504662490341</v>
      </c>
      <c r="J175" s="112"/>
      <c r="K175" s="94"/>
      <c r="L175" s="94"/>
      <c r="P175" s="112"/>
      <c r="Q175" s="97" t="s">
        <v>5509</v>
      </c>
      <c r="R175" s="93">
        <f>-499*P48</f>
        <v>-7989988</v>
      </c>
      <c r="S175" s="120" t="s">
        <v>25</v>
      </c>
      <c r="T175" s="166" t="s">
        <v>4572</v>
      </c>
      <c r="U175" s="166">
        <v>172025</v>
      </c>
      <c r="V175" s="111">
        <v>245.52809999999999</v>
      </c>
      <c r="W175" s="111">
        <f t="shared" si="50"/>
        <v>42236971.402499996</v>
      </c>
      <c r="X175" s="97" t="s">
        <v>452</v>
      </c>
      <c r="Z175" t="s">
        <v>25</v>
      </c>
      <c r="AH175" s="261">
        <v>155</v>
      </c>
      <c r="AI175" s="257" t="s">
        <v>4987</v>
      </c>
      <c r="AJ175" s="257">
        <v>-50000000</v>
      </c>
      <c r="AK175" s="261">
        <v>7</v>
      </c>
      <c r="AL175" s="261">
        <f t="shared" si="46"/>
        <v>231</v>
      </c>
      <c r="AM175" s="257">
        <f t="shared" si="47"/>
        <v>-11550000000</v>
      </c>
      <c r="AN175" s="261" t="s">
        <v>4995</v>
      </c>
    </row>
    <row r="176" spans="7:43">
      <c r="G176" s="32">
        <f>W146/P52</f>
        <v>2039988.021943066</v>
      </c>
      <c r="H176" s="32" t="s">
        <v>481</v>
      </c>
      <c r="I176" s="32">
        <f>W146/P49</f>
        <v>242873.39327304033</v>
      </c>
      <c r="J176" s="112"/>
      <c r="K176" s="94"/>
      <c r="L176" s="94"/>
      <c r="P176" s="112"/>
      <c r="Q176" s="97"/>
      <c r="R176" s="93"/>
      <c r="S176" s="113"/>
      <c r="T176" s="166" t="s">
        <v>4572</v>
      </c>
      <c r="U176" s="166">
        <v>189227</v>
      </c>
      <c r="V176" s="111">
        <v>245.52809999999999</v>
      </c>
      <c r="W176" s="111">
        <f t="shared" si="50"/>
        <v>46460545.778700002</v>
      </c>
      <c r="X176" s="97" t="s">
        <v>744</v>
      </c>
      <c r="Z176" t="s">
        <v>25</v>
      </c>
      <c r="AH176" s="97">
        <v>156</v>
      </c>
      <c r="AI176" s="111" t="s">
        <v>4993</v>
      </c>
      <c r="AJ176" s="111">
        <v>10000000</v>
      </c>
      <c r="AK176" s="97">
        <v>12</v>
      </c>
      <c r="AL176" s="20">
        <f t="shared" si="46"/>
        <v>224</v>
      </c>
      <c r="AM176" s="115">
        <f t="shared" si="47"/>
        <v>2240000000</v>
      </c>
      <c r="AN176" s="20" t="s">
        <v>4692</v>
      </c>
    </row>
    <row r="177" spans="5:43">
      <c r="G177" s="32">
        <f>G174-G175-G176</f>
        <v>2671405.1879341668</v>
      </c>
      <c r="H177" s="32" t="s">
        <v>5</v>
      </c>
      <c r="I177" s="32">
        <f>I174-I175-I176</f>
        <v>318047.57470231992</v>
      </c>
      <c r="J177" s="112">
        <f>SUM(J172:J175)</f>
        <v>227127000</v>
      </c>
      <c r="K177" s="94"/>
      <c r="L177" s="94"/>
      <c r="M177" t="s">
        <v>25</v>
      </c>
      <c r="P177" s="112"/>
      <c r="Q177" s="97"/>
      <c r="R177" s="93"/>
      <c r="S177" s="113"/>
      <c r="T177" s="166" t="s">
        <v>4573</v>
      </c>
      <c r="U177" s="166">
        <v>79720</v>
      </c>
      <c r="V177" s="111">
        <v>246.6568</v>
      </c>
      <c r="W177" s="111">
        <f t="shared" si="50"/>
        <v>19663480.096000001</v>
      </c>
      <c r="X177" s="97" t="s">
        <v>452</v>
      </c>
      <c r="AH177" s="97">
        <v>157</v>
      </c>
      <c r="AI177" s="111" t="s">
        <v>5000</v>
      </c>
      <c r="AJ177" s="111">
        <v>-16266000</v>
      </c>
      <c r="AK177" s="97">
        <v>1</v>
      </c>
      <c r="AL177" s="20">
        <f t="shared" si="46"/>
        <v>212</v>
      </c>
      <c r="AM177" s="115">
        <f t="shared" si="47"/>
        <v>-3448392000</v>
      </c>
      <c r="AN177" s="20" t="s">
        <v>5008</v>
      </c>
      <c r="AQ177" t="s">
        <v>25</v>
      </c>
    </row>
    <row r="178" spans="5:43">
      <c r="P178" s="112"/>
      <c r="Q178" s="97" t="s">
        <v>4421</v>
      </c>
      <c r="R178" s="93">
        <f>SUM(R162:R177)</f>
        <v>11297541008</v>
      </c>
      <c r="T178" s="166" t="s">
        <v>4573</v>
      </c>
      <c r="U178" s="166">
        <v>79720</v>
      </c>
      <c r="V178" s="111">
        <v>246.6568</v>
      </c>
      <c r="W178" s="111">
        <f t="shared" si="50"/>
        <v>19663480.096000001</v>
      </c>
      <c r="X178" s="97" t="s">
        <v>744</v>
      </c>
      <c r="Y178" t="s">
        <v>25</v>
      </c>
      <c r="AH178" s="97">
        <v>158</v>
      </c>
      <c r="AI178" s="111" t="s">
        <v>5009</v>
      </c>
      <c r="AJ178" s="111">
        <v>1000000</v>
      </c>
      <c r="AK178" s="97">
        <v>6</v>
      </c>
      <c r="AL178" s="20">
        <f>AL179+AK178</f>
        <v>211</v>
      </c>
      <c r="AM178" s="115">
        <f>AJ178*AL178</f>
        <v>211000000</v>
      </c>
      <c r="AN178" s="20"/>
    </row>
    <row r="179" spans="5:43">
      <c r="P179" s="112"/>
      <c r="Q179" s="94"/>
      <c r="T179" s="166" t="s">
        <v>4596</v>
      </c>
      <c r="U179" s="166">
        <v>17769</v>
      </c>
      <c r="V179" s="111">
        <v>246.17877999999999</v>
      </c>
      <c r="W179" s="111">
        <f t="shared" si="50"/>
        <v>4374350.7418200001</v>
      </c>
      <c r="X179" s="97" t="s">
        <v>744</v>
      </c>
      <c r="Y179" t="s">
        <v>25</v>
      </c>
      <c r="AH179" s="97">
        <v>159</v>
      </c>
      <c r="AI179" s="111" t="s">
        <v>5017</v>
      </c>
      <c r="AJ179" s="111">
        <v>40000</v>
      </c>
      <c r="AK179" s="97">
        <v>5</v>
      </c>
      <c r="AL179" s="20">
        <f>AL180+AK179</f>
        <v>205</v>
      </c>
      <c r="AM179" s="115">
        <f>AJ179*AL179</f>
        <v>8200000</v>
      </c>
      <c r="AN179" s="20"/>
    </row>
    <row r="180" spans="5:43">
      <c r="K180" s="94"/>
      <c r="L180" s="94"/>
      <c r="P180" s="112"/>
      <c r="T180" s="166" t="s">
        <v>4596</v>
      </c>
      <c r="U180" s="166">
        <v>17769</v>
      </c>
      <c r="V180" s="111">
        <v>246.17877999999999</v>
      </c>
      <c r="W180" s="111">
        <f t="shared" si="50"/>
        <v>4374350.7418200001</v>
      </c>
      <c r="X180" s="97" t="s">
        <v>452</v>
      </c>
      <c r="AB180" t="s">
        <v>25</v>
      </c>
      <c r="AH180" s="97">
        <v>160</v>
      </c>
      <c r="AI180" s="111" t="s">
        <v>5026</v>
      </c>
      <c r="AJ180" s="111">
        <v>120000</v>
      </c>
      <c r="AK180" s="97">
        <v>6</v>
      </c>
      <c r="AL180" s="20">
        <f>AL181+AK180</f>
        <v>200</v>
      </c>
      <c r="AM180" s="115">
        <f>AJ180*AL180</f>
        <v>24000000</v>
      </c>
      <c r="AN180" s="20"/>
    </row>
    <row r="181" spans="5:43">
      <c r="G181" s="32" t="s">
        <v>180</v>
      </c>
      <c r="H181" s="32" t="s">
        <v>5541</v>
      </c>
      <c r="I181" s="210" t="s">
        <v>5542</v>
      </c>
      <c r="J181" s="210" t="s">
        <v>5543</v>
      </c>
      <c r="P181" s="112"/>
      <c r="Q181" s="210" t="s">
        <v>8</v>
      </c>
      <c r="R181" s="210" t="s">
        <v>4411</v>
      </c>
      <c r="S181" s="210"/>
      <c r="T181" s="166" t="s">
        <v>4598</v>
      </c>
      <c r="U181" s="166">
        <v>12438</v>
      </c>
      <c r="V181" s="111">
        <v>241.20465999999999</v>
      </c>
      <c r="W181" s="111">
        <f t="shared" si="50"/>
        <v>3000103.5610799999</v>
      </c>
      <c r="X181" s="97" t="s">
        <v>4411</v>
      </c>
      <c r="Y181" t="s">
        <v>25</v>
      </c>
      <c r="Z181" t="s">
        <v>25</v>
      </c>
      <c r="AH181" s="97">
        <v>161</v>
      </c>
      <c r="AI181" s="111" t="s">
        <v>5022</v>
      </c>
      <c r="AJ181" s="111">
        <v>249000</v>
      </c>
      <c r="AK181" s="97">
        <v>9</v>
      </c>
      <c r="AL181" s="20">
        <f>AL182+AK181</f>
        <v>194</v>
      </c>
      <c r="AM181" s="115">
        <f>AJ181*AL181</f>
        <v>48306000</v>
      </c>
      <c r="AN181" s="20"/>
    </row>
    <row r="182" spans="5:43">
      <c r="E182" t="s">
        <v>25</v>
      </c>
      <c r="G182" s="32" t="s">
        <v>5529</v>
      </c>
      <c r="H182" s="32">
        <v>3256760</v>
      </c>
      <c r="I182" s="210">
        <v>245992</v>
      </c>
      <c r="J182" s="210">
        <v>2544443</v>
      </c>
      <c r="K182" s="32" t="s">
        <v>5544</v>
      </c>
      <c r="L182" s="97" t="s">
        <v>5558</v>
      </c>
      <c r="M182" s="97" t="s">
        <v>5559</v>
      </c>
      <c r="P182" s="112"/>
      <c r="Q182" s="210"/>
      <c r="R182" s="71" t="s">
        <v>180</v>
      </c>
      <c r="S182" s="210" t="s">
        <v>267</v>
      </c>
      <c r="T182" s="166" t="s">
        <v>4607</v>
      </c>
      <c r="U182" s="166">
        <v>27363</v>
      </c>
      <c r="V182" s="111">
        <v>239.3886</v>
      </c>
      <c r="W182" s="111">
        <f t="shared" si="50"/>
        <v>6550390.2617999995</v>
      </c>
      <c r="X182" s="97" t="s">
        <v>744</v>
      </c>
      <c r="Y182" t="s">
        <v>25</v>
      </c>
      <c r="AH182" s="97">
        <v>162</v>
      </c>
      <c r="AI182" s="111" t="s">
        <v>5048</v>
      </c>
      <c r="AJ182" s="111">
        <v>65000</v>
      </c>
      <c r="AK182" s="97">
        <v>7</v>
      </c>
      <c r="AL182" s="20">
        <f>AL183+AK182</f>
        <v>185</v>
      </c>
      <c r="AM182" s="115">
        <f>AJ182*AL182</f>
        <v>12025000</v>
      </c>
      <c r="AN182" s="20"/>
    </row>
    <row r="183" spans="5:43">
      <c r="G183" s="32" t="s">
        <v>5545</v>
      </c>
      <c r="H183" s="32">
        <v>3245022</v>
      </c>
      <c r="I183" s="210">
        <v>249261</v>
      </c>
      <c r="J183" s="210">
        <v>2532877</v>
      </c>
      <c r="K183" s="32">
        <v>192693</v>
      </c>
      <c r="L183" s="97">
        <f>H182+J182</f>
        <v>5801203</v>
      </c>
      <c r="M183" s="97">
        <f>I182+K183</f>
        <v>438685</v>
      </c>
      <c r="P183" s="112"/>
      <c r="Q183" s="210"/>
      <c r="R183" s="210" t="s">
        <v>4404</v>
      </c>
      <c r="S183" s="111">
        <v>3000000</v>
      </c>
      <c r="T183" s="166" t="s">
        <v>4607</v>
      </c>
      <c r="U183" s="166">
        <v>27363</v>
      </c>
      <c r="V183" s="111">
        <v>239.3886</v>
      </c>
      <c r="W183" s="111">
        <f t="shared" si="50"/>
        <v>6550390.2617999995</v>
      </c>
      <c r="X183" s="97" t="s">
        <v>452</v>
      </c>
      <c r="Z183" t="s">
        <v>25</v>
      </c>
      <c r="AH183" s="97">
        <v>163</v>
      </c>
      <c r="AI183" s="111" t="s">
        <v>5058</v>
      </c>
      <c r="AJ183" s="111">
        <v>-312598</v>
      </c>
      <c r="AK183" s="97">
        <v>0</v>
      </c>
      <c r="AL183" s="20">
        <f t="shared" ref="AL183:AL190" si="51">AL184+AK183</f>
        <v>178</v>
      </c>
      <c r="AM183" s="115">
        <f t="shared" ref="AM183:AM190" si="52">AJ183*AL183</f>
        <v>-55642444</v>
      </c>
      <c r="AN183" s="20"/>
      <c r="AO183" t="s">
        <v>25</v>
      </c>
      <c r="AQ183" t="s">
        <v>25</v>
      </c>
    </row>
    <row r="184" spans="5:43">
      <c r="G184" s="32" t="s">
        <v>5546</v>
      </c>
      <c r="H184" s="32"/>
      <c r="I184" s="210"/>
      <c r="J184" s="210"/>
      <c r="K184" s="32">
        <v>195062</v>
      </c>
      <c r="L184" s="97">
        <f>H183+J183</f>
        <v>5777899</v>
      </c>
      <c r="M184" s="97">
        <f>I183+K184</f>
        <v>444323</v>
      </c>
      <c r="P184" s="112"/>
      <c r="Q184" s="210"/>
      <c r="R184" s="210" t="s">
        <v>4451</v>
      </c>
      <c r="S184" s="111">
        <v>2000000</v>
      </c>
      <c r="T184" s="207" t="s">
        <v>4609</v>
      </c>
      <c r="U184" s="207">
        <v>27437</v>
      </c>
      <c r="V184" s="111">
        <v>242.4015</v>
      </c>
      <c r="W184" s="111">
        <f t="shared" si="50"/>
        <v>6650769.9555000002</v>
      </c>
      <c r="X184" s="97" t="s">
        <v>744</v>
      </c>
      <c r="AH184" s="97">
        <v>164</v>
      </c>
      <c r="AI184" s="111" t="s">
        <v>5058</v>
      </c>
      <c r="AJ184" s="111">
        <v>50000</v>
      </c>
      <c r="AK184" s="97">
        <v>6</v>
      </c>
      <c r="AL184" s="20">
        <f t="shared" si="51"/>
        <v>178</v>
      </c>
      <c r="AM184" s="115">
        <f t="shared" si="52"/>
        <v>8900000</v>
      </c>
      <c r="AN184" s="20"/>
    </row>
    <row r="185" spans="5:43">
      <c r="G185" s="32" t="s">
        <v>5547</v>
      </c>
      <c r="H185" s="32"/>
      <c r="I185" s="210"/>
      <c r="J185" s="210"/>
      <c r="K185" s="32"/>
      <c r="L185" s="97">
        <f>H184+J184</f>
        <v>0</v>
      </c>
      <c r="M185" s="97">
        <f>I184+K185</f>
        <v>0</v>
      </c>
      <c r="P185" s="112"/>
      <c r="Q185" s="210"/>
      <c r="R185" s="210" t="s">
        <v>4459</v>
      </c>
      <c r="S185" s="111">
        <v>1000000</v>
      </c>
      <c r="T185" s="207" t="s">
        <v>4609</v>
      </c>
      <c r="U185" s="207">
        <v>29104</v>
      </c>
      <c r="V185" s="111">
        <v>242.4015</v>
      </c>
      <c r="W185" s="111">
        <f t="shared" si="50"/>
        <v>7054853.2560000001</v>
      </c>
      <c r="X185" s="97" t="s">
        <v>452</v>
      </c>
      <c r="Y185" t="s">
        <v>25</v>
      </c>
      <c r="Z185" t="s">
        <v>25</v>
      </c>
      <c r="AH185" s="97">
        <v>165</v>
      </c>
      <c r="AI185" s="111" t="s">
        <v>5068</v>
      </c>
      <c r="AJ185" s="111">
        <v>-200000</v>
      </c>
      <c r="AK185" s="97">
        <v>0</v>
      </c>
      <c r="AL185" s="20">
        <f t="shared" si="51"/>
        <v>172</v>
      </c>
      <c r="AM185" s="115">
        <f t="shared" si="52"/>
        <v>-34400000</v>
      </c>
      <c r="AN185" s="20" t="s">
        <v>5069</v>
      </c>
    </row>
    <row r="186" spans="5:43">
      <c r="G186" s="32" t="s">
        <v>5574</v>
      </c>
      <c r="H186" s="32">
        <v>3270584</v>
      </c>
      <c r="I186" s="210">
        <v>250916</v>
      </c>
      <c r="J186" s="210">
        <v>2496979</v>
      </c>
      <c r="K186" s="32"/>
      <c r="L186" s="97">
        <f>H185+J185</f>
        <v>0</v>
      </c>
      <c r="M186" s="97">
        <f>I185+K186</f>
        <v>0</v>
      </c>
      <c r="O186" s="94"/>
      <c r="P186" s="112"/>
      <c r="Q186" s="210"/>
      <c r="R186" s="210" t="s">
        <v>4465</v>
      </c>
      <c r="S186" s="111">
        <v>2000000</v>
      </c>
      <c r="T186" s="210" t="s">
        <v>4626</v>
      </c>
      <c r="U186" s="210">
        <v>8991</v>
      </c>
      <c r="V186" s="111">
        <v>238.64867000000001</v>
      </c>
      <c r="W186" s="111">
        <f t="shared" si="50"/>
        <v>2145690.19197</v>
      </c>
      <c r="X186" s="97" t="s">
        <v>744</v>
      </c>
      <c r="AH186" s="97">
        <v>166</v>
      </c>
      <c r="AI186" s="111" t="s">
        <v>5068</v>
      </c>
      <c r="AJ186" s="111">
        <v>200000</v>
      </c>
      <c r="AK186" s="97">
        <v>3</v>
      </c>
      <c r="AL186" s="20">
        <f t="shared" si="51"/>
        <v>172</v>
      </c>
      <c r="AM186" s="115">
        <f t="shared" si="52"/>
        <v>34400000</v>
      </c>
      <c r="AN186" s="20"/>
      <c r="AQ186" t="s">
        <v>25</v>
      </c>
    </row>
    <row r="187" spans="5:43">
      <c r="G187" s="32" t="s">
        <v>5575</v>
      </c>
      <c r="H187" s="32">
        <v>3225584</v>
      </c>
      <c r="I187" s="210">
        <v>260042</v>
      </c>
      <c r="J187" s="210">
        <v>2466124</v>
      </c>
      <c r="K187" s="32">
        <v>203160</v>
      </c>
      <c r="L187" s="97">
        <f>H186+J186</f>
        <v>5767563</v>
      </c>
      <c r="M187" s="97">
        <f>I186+K187</f>
        <v>454076</v>
      </c>
      <c r="O187" t="s">
        <v>25</v>
      </c>
      <c r="P187" t="s">
        <v>25</v>
      </c>
      <c r="Q187" s="210"/>
      <c r="R187" s="210" t="s">
        <v>979</v>
      </c>
      <c r="S187" s="111">
        <v>3000000</v>
      </c>
      <c r="T187" s="210" t="s">
        <v>4626</v>
      </c>
      <c r="U187" s="210">
        <v>8991</v>
      </c>
      <c r="V187" s="111">
        <v>238.64867000000001</v>
      </c>
      <c r="W187" s="111">
        <f t="shared" si="50"/>
        <v>2145690.19197</v>
      </c>
      <c r="X187" s="97" t="s">
        <v>452</v>
      </c>
      <c r="Y187" t="s">
        <v>25</v>
      </c>
      <c r="Z187" t="s">
        <v>25</v>
      </c>
      <c r="AH187" s="97">
        <v>167</v>
      </c>
      <c r="AI187" s="111" t="s">
        <v>5075</v>
      </c>
      <c r="AJ187" s="111">
        <v>200000</v>
      </c>
      <c r="AK187" s="97">
        <v>3</v>
      </c>
      <c r="AL187" s="20">
        <f t="shared" si="51"/>
        <v>169</v>
      </c>
      <c r="AM187" s="115">
        <f t="shared" si="52"/>
        <v>33800000</v>
      </c>
      <c r="AN187" s="20"/>
    </row>
    <row r="188" spans="5:43">
      <c r="G188" s="32" t="s">
        <v>5576</v>
      </c>
      <c r="H188" s="32">
        <v>3271778</v>
      </c>
      <c r="I188" s="210">
        <v>282233</v>
      </c>
      <c r="J188" s="210">
        <v>2458563</v>
      </c>
      <c r="K188" s="32">
        <v>210439</v>
      </c>
      <c r="L188" s="97">
        <f>H187+J187</f>
        <v>5691708</v>
      </c>
      <c r="M188" s="97">
        <f>I187+K188</f>
        <v>470481</v>
      </c>
      <c r="P188" s="112"/>
      <c r="Q188" s="210"/>
      <c r="R188" s="210" t="s">
        <v>4598</v>
      </c>
      <c r="S188" s="111">
        <v>3000000</v>
      </c>
      <c r="T188" s="210" t="s">
        <v>4637</v>
      </c>
      <c r="U188" s="210">
        <v>18170</v>
      </c>
      <c r="V188" s="111">
        <v>240.48475999999999</v>
      </c>
      <c r="W188" s="111">
        <f t="shared" si="50"/>
        <v>4369608.0892000003</v>
      </c>
      <c r="X188" s="97" t="s">
        <v>744</v>
      </c>
      <c r="AH188" s="97">
        <v>168</v>
      </c>
      <c r="AI188" s="111" t="s">
        <v>5078</v>
      </c>
      <c r="AJ188" s="111">
        <v>30000</v>
      </c>
      <c r="AK188" s="97">
        <v>7</v>
      </c>
      <c r="AL188" s="20">
        <f t="shared" si="51"/>
        <v>166</v>
      </c>
      <c r="AM188" s="115">
        <f t="shared" si="52"/>
        <v>4980000</v>
      </c>
      <c r="AN188" s="20"/>
    </row>
    <row r="189" spans="5:43">
      <c r="G189" s="32" t="s">
        <v>5583</v>
      </c>
      <c r="H189" s="32">
        <v>3298939</v>
      </c>
      <c r="I189" s="210">
        <v>281309</v>
      </c>
      <c r="J189" s="210">
        <v>2465538</v>
      </c>
      <c r="K189" s="32">
        <v>212082</v>
      </c>
      <c r="L189" s="97">
        <f>H188+J188</f>
        <v>5730341</v>
      </c>
      <c r="M189" s="97">
        <f>I188+K189</f>
        <v>494315</v>
      </c>
      <c r="O189" t="s">
        <v>25</v>
      </c>
      <c r="Q189" s="210" t="s">
        <v>4770</v>
      </c>
      <c r="R189" s="210" t="s">
        <v>4765</v>
      </c>
      <c r="S189" s="111">
        <v>-800000</v>
      </c>
      <c r="T189" s="210" t="s">
        <v>4637</v>
      </c>
      <c r="U189" s="210">
        <v>18170</v>
      </c>
      <c r="V189" s="111">
        <v>240.48475999999999</v>
      </c>
      <c r="W189" s="111">
        <f t="shared" si="50"/>
        <v>4369608.0892000003</v>
      </c>
      <c r="X189" s="97" t="s">
        <v>452</v>
      </c>
      <c r="Y189" t="s">
        <v>25</v>
      </c>
      <c r="AH189" s="97">
        <v>169</v>
      </c>
      <c r="AI189" s="111" t="s">
        <v>5036</v>
      </c>
      <c r="AJ189" s="111">
        <v>-10000000</v>
      </c>
      <c r="AK189" s="97">
        <v>0</v>
      </c>
      <c r="AL189" s="20">
        <f t="shared" si="51"/>
        <v>159</v>
      </c>
      <c r="AM189" s="115">
        <f t="shared" si="52"/>
        <v>-1590000000</v>
      </c>
      <c r="AN189" s="20" t="s">
        <v>4995</v>
      </c>
    </row>
    <row r="190" spans="5:43">
      <c r="G190" s="32" t="s">
        <v>5587</v>
      </c>
      <c r="H190" s="32">
        <v>3453903</v>
      </c>
      <c r="I190" s="210">
        <v>259725</v>
      </c>
      <c r="J190" s="210">
        <v>2541096</v>
      </c>
      <c r="K190" s="32">
        <v>210242</v>
      </c>
      <c r="L190" s="97">
        <f>H189+J189</f>
        <v>5764477</v>
      </c>
      <c r="M190" s="97">
        <f>I189+K190</f>
        <v>491551</v>
      </c>
      <c r="P190" s="112"/>
      <c r="Q190" s="210" t="s">
        <v>4771</v>
      </c>
      <c r="R190" s="210" t="s">
        <v>4765</v>
      </c>
      <c r="S190" s="111">
        <v>-900000</v>
      </c>
      <c r="T190" s="210" t="s">
        <v>4639</v>
      </c>
      <c r="U190" s="210">
        <v>36797</v>
      </c>
      <c r="V190" s="111">
        <v>239.0822</v>
      </c>
      <c r="W190" s="111">
        <f t="shared" si="50"/>
        <v>8797507.7134000007</v>
      </c>
      <c r="X190" s="97" t="s">
        <v>744</v>
      </c>
      <c r="Y190" t="s">
        <v>25</v>
      </c>
      <c r="AH190" s="97">
        <v>170</v>
      </c>
      <c r="AI190" s="111" t="s">
        <v>5036</v>
      </c>
      <c r="AJ190" s="111">
        <v>6000000</v>
      </c>
      <c r="AK190" s="97">
        <v>8</v>
      </c>
      <c r="AL190" s="20">
        <f t="shared" si="51"/>
        <v>159</v>
      </c>
      <c r="AM190" s="115">
        <f t="shared" si="52"/>
        <v>954000000</v>
      </c>
      <c r="AN190" s="20"/>
      <c r="AP190" t="s">
        <v>25</v>
      </c>
    </row>
    <row r="191" spans="5:43">
      <c r="G191" s="32"/>
      <c r="H191" s="32"/>
      <c r="I191" s="210"/>
      <c r="J191" s="210"/>
      <c r="K191" s="32">
        <v>191084</v>
      </c>
      <c r="L191" s="97">
        <f>H190+J190</f>
        <v>5994999</v>
      </c>
      <c r="M191" s="97">
        <f>I190+K191</f>
        <v>450809</v>
      </c>
      <c r="P191" s="112"/>
      <c r="Q191" s="210" t="s">
        <v>4771</v>
      </c>
      <c r="R191" s="210" t="s">
        <v>966</v>
      </c>
      <c r="S191" s="111">
        <v>-1100000</v>
      </c>
      <c r="T191" s="210" t="s">
        <v>4639</v>
      </c>
      <c r="U191" s="210">
        <v>36797</v>
      </c>
      <c r="V191" s="111">
        <v>239.0822</v>
      </c>
      <c r="W191" s="111">
        <f t="shared" si="50"/>
        <v>8797507.7134000007</v>
      </c>
      <c r="X191" s="97" t="s">
        <v>452</v>
      </c>
      <c r="Y191" t="s">
        <v>25</v>
      </c>
      <c r="AH191" s="97">
        <v>171</v>
      </c>
      <c r="AI191" s="111" t="s">
        <v>5105</v>
      </c>
      <c r="AJ191" s="111">
        <v>150000</v>
      </c>
      <c r="AK191" s="97">
        <v>7</v>
      </c>
      <c r="AL191" s="20">
        <f>AL192+AK191</f>
        <v>151</v>
      </c>
      <c r="AM191" s="115">
        <f>AJ191*AL191</f>
        <v>22650000</v>
      </c>
      <c r="AN191" s="20"/>
    </row>
    <row r="192" spans="5:43">
      <c r="G192" s="32"/>
      <c r="H192" s="32"/>
      <c r="I192" s="210"/>
      <c r="J192" s="210"/>
      <c r="K192" s="32"/>
      <c r="L192" s="97"/>
      <c r="M192" s="97"/>
      <c r="Q192" s="188" t="s">
        <v>1071</v>
      </c>
      <c r="R192" s="188" t="s">
        <v>4794</v>
      </c>
      <c r="S192" s="194">
        <v>30000000</v>
      </c>
      <c r="T192" s="210" t="s">
        <v>4648</v>
      </c>
      <c r="U192" s="210">
        <v>28066</v>
      </c>
      <c r="V192" s="111">
        <v>237.56970000000001</v>
      </c>
      <c r="W192" s="111">
        <f t="shared" si="50"/>
        <v>6667631.2002000008</v>
      </c>
      <c r="X192" s="97" t="s">
        <v>744</v>
      </c>
      <c r="AH192" s="97">
        <v>172</v>
      </c>
      <c r="AI192" s="111" t="s">
        <v>5141</v>
      </c>
      <c r="AJ192" s="111">
        <v>400000</v>
      </c>
      <c r="AK192" s="97">
        <v>1</v>
      </c>
      <c r="AL192" s="20">
        <f>AL193+AK192</f>
        <v>144</v>
      </c>
      <c r="AM192" s="115">
        <f>AJ192*AL192</f>
        <v>57600000</v>
      </c>
      <c r="AN192" s="20"/>
    </row>
    <row r="193" spans="7:45">
      <c r="G193" s="32"/>
      <c r="H193" s="32"/>
      <c r="I193" s="210"/>
      <c r="J193" s="210"/>
      <c r="K193" s="32"/>
      <c r="L193" s="97"/>
      <c r="M193" s="97"/>
      <c r="Q193" s="19" t="s">
        <v>4875</v>
      </c>
      <c r="R193" s="19" t="s">
        <v>4873</v>
      </c>
      <c r="S193" s="115">
        <v>2000000</v>
      </c>
      <c r="T193" s="210" t="s">
        <v>4648</v>
      </c>
      <c r="U193" s="210">
        <v>28066</v>
      </c>
      <c r="V193" s="111">
        <v>237.56970000000001</v>
      </c>
      <c r="W193" s="111">
        <f t="shared" si="50"/>
        <v>6667631.2002000008</v>
      </c>
      <c r="X193" s="97" t="s">
        <v>452</v>
      </c>
      <c r="AH193" s="97">
        <v>173</v>
      </c>
      <c r="AI193" s="111" t="s">
        <v>5145</v>
      </c>
      <c r="AJ193" s="111">
        <v>-100000</v>
      </c>
      <c r="AK193" s="97">
        <v>1</v>
      </c>
      <c r="AL193" s="20">
        <f>AL194+AK193</f>
        <v>143</v>
      </c>
      <c r="AM193" s="115">
        <f>AJ193*AL193</f>
        <v>-14300000</v>
      </c>
      <c r="AN193" s="20"/>
    </row>
    <row r="194" spans="7:45">
      <c r="K194" s="32"/>
      <c r="L194" s="97">
        <f>H193+J193</f>
        <v>0</v>
      </c>
      <c r="M194" s="97">
        <f>I193+K194</f>
        <v>0</v>
      </c>
      <c r="Q194" s="187" t="s">
        <v>4898</v>
      </c>
      <c r="R194" s="187" t="s">
        <v>4897</v>
      </c>
      <c r="S194" s="186">
        <v>480105</v>
      </c>
      <c r="T194" s="210" t="s">
        <v>3668</v>
      </c>
      <c r="U194" s="210">
        <v>37457</v>
      </c>
      <c r="V194" s="111">
        <v>239.77</v>
      </c>
      <c r="W194" s="111">
        <f t="shared" si="50"/>
        <v>8981064.8900000006</v>
      </c>
      <c r="X194" s="97" t="s">
        <v>744</v>
      </c>
      <c r="Y194" t="s">
        <v>25</v>
      </c>
      <c r="AH194" s="97">
        <v>174</v>
      </c>
      <c r="AI194" s="111" t="s">
        <v>5149</v>
      </c>
      <c r="AJ194" s="111">
        <v>10000000</v>
      </c>
      <c r="AK194" s="97">
        <v>1</v>
      </c>
      <c r="AL194" s="20">
        <f>AL195+AK194</f>
        <v>142</v>
      </c>
      <c r="AM194" s="115">
        <f>AJ194*AL194</f>
        <v>1420000000</v>
      </c>
      <c r="AN194" s="20" t="s">
        <v>4692</v>
      </c>
      <c r="AS194" t="s">
        <v>25</v>
      </c>
    </row>
    <row r="195" spans="7:45">
      <c r="Q195" s="187"/>
      <c r="R195" s="187" t="s">
        <v>4939</v>
      </c>
      <c r="S195" s="186">
        <v>30500000</v>
      </c>
      <c r="T195" s="210" t="s">
        <v>3668</v>
      </c>
      <c r="U195" s="210">
        <v>37457</v>
      </c>
      <c r="V195" s="111">
        <v>239.77</v>
      </c>
      <c r="W195" s="111">
        <f t="shared" si="50"/>
        <v>8981064.8900000006</v>
      </c>
      <c r="X195" s="97" t="s">
        <v>452</v>
      </c>
      <c r="AH195" s="97">
        <v>175</v>
      </c>
      <c r="AI195" s="111" t="s">
        <v>5154</v>
      </c>
      <c r="AJ195" s="111">
        <v>-400000</v>
      </c>
      <c r="AK195" s="97">
        <v>6</v>
      </c>
      <c r="AL195" s="20">
        <f t="shared" ref="AL195:AL203" si="53">AL196+AK195</f>
        <v>141</v>
      </c>
      <c r="AM195" s="115">
        <f t="shared" ref="AM195:AM203" si="54">AJ195*AL195</f>
        <v>-56400000</v>
      </c>
      <c r="AN195" s="20"/>
    </row>
    <row r="196" spans="7:45">
      <c r="Q196" s="19" t="s">
        <v>4970</v>
      </c>
      <c r="R196" s="19" t="s">
        <v>4965</v>
      </c>
      <c r="S196" s="115">
        <v>-400000</v>
      </c>
      <c r="T196" s="210" t="s">
        <v>4660</v>
      </c>
      <c r="U196" s="210">
        <v>38412</v>
      </c>
      <c r="V196" s="111">
        <v>239.03</v>
      </c>
      <c r="W196" s="111">
        <f t="shared" si="50"/>
        <v>9181620.3599999994</v>
      </c>
      <c r="X196" s="97" t="s">
        <v>744</v>
      </c>
      <c r="Z196" t="s">
        <v>25</v>
      </c>
      <c r="AA196" t="s">
        <v>25</v>
      </c>
      <c r="AH196" s="97">
        <v>176</v>
      </c>
      <c r="AI196" s="111" t="s">
        <v>5161</v>
      </c>
      <c r="AJ196" s="111">
        <v>1300000</v>
      </c>
      <c r="AK196" s="97">
        <v>0</v>
      </c>
      <c r="AL196" s="20">
        <f t="shared" si="53"/>
        <v>135</v>
      </c>
      <c r="AM196" s="115">
        <f t="shared" si="54"/>
        <v>175500000</v>
      </c>
      <c r="AN196" s="20"/>
      <c r="AR196" t="s">
        <v>25</v>
      </c>
    </row>
    <row r="197" spans="7:45">
      <c r="G197" s="97" t="s">
        <v>5531</v>
      </c>
      <c r="H197" s="97"/>
      <c r="I197" s="97"/>
      <c r="K197" t="s">
        <v>25</v>
      </c>
      <c r="M197" t="s">
        <v>25</v>
      </c>
      <c r="Q197" s="187" t="s">
        <v>5081</v>
      </c>
      <c r="R197" s="187" t="s">
        <v>5000</v>
      </c>
      <c r="S197" s="186">
        <v>-349550</v>
      </c>
      <c r="T197" s="210" t="s">
        <v>4660</v>
      </c>
      <c r="U197" s="210">
        <v>38412</v>
      </c>
      <c r="V197" s="111">
        <v>239.03</v>
      </c>
      <c r="W197" s="111">
        <f t="shared" si="50"/>
        <v>9181620.3599999994</v>
      </c>
      <c r="X197" s="97" t="s">
        <v>452</v>
      </c>
      <c r="Y197" t="s">
        <v>25</v>
      </c>
      <c r="AH197" s="97">
        <v>177</v>
      </c>
      <c r="AI197" s="111" t="s">
        <v>5161</v>
      </c>
      <c r="AJ197" s="111">
        <v>230000</v>
      </c>
      <c r="AK197" s="97">
        <v>1</v>
      </c>
      <c r="AL197" s="20">
        <f t="shared" si="53"/>
        <v>135</v>
      </c>
      <c r="AM197" s="115">
        <f t="shared" si="54"/>
        <v>31050000</v>
      </c>
      <c r="AN197" s="20"/>
    </row>
    <row r="198" spans="7:45">
      <c r="G198" s="97" t="s">
        <v>452</v>
      </c>
      <c r="H198" s="97">
        <v>199</v>
      </c>
      <c r="I198" s="97" t="s">
        <v>5532</v>
      </c>
      <c r="Q198" s="187" t="s">
        <v>5111</v>
      </c>
      <c r="R198" s="187" t="s">
        <v>5108</v>
      </c>
      <c r="S198" s="186">
        <v>11500000</v>
      </c>
      <c r="T198" s="210" t="s">
        <v>4663</v>
      </c>
      <c r="U198" s="210">
        <v>49555</v>
      </c>
      <c r="V198" s="111">
        <v>238.345</v>
      </c>
      <c r="W198" s="111">
        <f t="shared" si="50"/>
        <v>11811186.475</v>
      </c>
      <c r="X198" s="97" t="s">
        <v>744</v>
      </c>
      <c r="Y198" t="s">
        <v>25</v>
      </c>
      <c r="AH198" s="97">
        <v>178</v>
      </c>
      <c r="AI198" s="111" t="s">
        <v>5164</v>
      </c>
      <c r="AJ198" s="111">
        <v>880000</v>
      </c>
      <c r="AK198" s="97">
        <v>4</v>
      </c>
      <c r="AL198" s="20">
        <f t="shared" si="53"/>
        <v>134</v>
      </c>
      <c r="AM198" s="115">
        <f t="shared" si="54"/>
        <v>117920000</v>
      </c>
      <c r="AN198" s="20"/>
    </row>
    <row r="199" spans="7:45">
      <c r="G199" s="97" t="s">
        <v>744</v>
      </c>
      <c r="H199" s="97">
        <v>200</v>
      </c>
      <c r="I199" s="97" t="s">
        <v>5533</v>
      </c>
      <c r="M199" t="s">
        <v>25</v>
      </c>
      <c r="Q199" s="187" t="s">
        <v>5140</v>
      </c>
      <c r="R199" s="187" t="s">
        <v>5139</v>
      </c>
      <c r="S199" s="186">
        <v>6000000</v>
      </c>
      <c r="T199" s="210" t="s">
        <v>4663</v>
      </c>
      <c r="U199" s="210">
        <v>49555</v>
      </c>
      <c r="V199" s="111">
        <v>238.345</v>
      </c>
      <c r="W199" s="111">
        <f t="shared" si="50"/>
        <v>11811186.475</v>
      </c>
      <c r="X199" s="97" t="s">
        <v>452</v>
      </c>
      <c r="Y199" t="s">
        <v>25</v>
      </c>
      <c r="AH199" s="97">
        <v>179</v>
      </c>
      <c r="AI199" s="111" t="s">
        <v>5168</v>
      </c>
      <c r="AJ199" s="111">
        <v>-900000</v>
      </c>
      <c r="AK199" s="97">
        <v>1</v>
      </c>
      <c r="AL199" s="20">
        <f t="shared" si="53"/>
        <v>130</v>
      </c>
      <c r="AM199" s="115">
        <f t="shared" si="54"/>
        <v>-117000000</v>
      </c>
      <c r="AN199" s="20"/>
    </row>
    <row r="200" spans="7:45">
      <c r="G200" s="97" t="s">
        <v>5501</v>
      </c>
      <c r="H200" s="97">
        <v>200</v>
      </c>
      <c r="I200" s="97" t="s">
        <v>5580</v>
      </c>
      <c r="P200" s="112"/>
      <c r="Q200" s="187" t="s">
        <v>5142</v>
      </c>
      <c r="R200" s="187" t="s">
        <v>5141</v>
      </c>
      <c r="S200" s="186">
        <v>1500000</v>
      </c>
      <c r="T200" s="210" t="s">
        <v>4677</v>
      </c>
      <c r="U200" s="210">
        <v>160187</v>
      </c>
      <c r="V200" s="111">
        <v>257.49799999999999</v>
      </c>
      <c r="W200" s="111">
        <f t="shared" si="50"/>
        <v>41247832.126000002</v>
      </c>
      <c r="X200" s="97" t="s">
        <v>744</v>
      </c>
      <c r="AH200" s="97">
        <v>180</v>
      </c>
      <c r="AI200" s="111" t="s">
        <v>977</v>
      </c>
      <c r="AJ200" s="111">
        <v>-3500000</v>
      </c>
      <c r="AK200" s="97">
        <v>1</v>
      </c>
      <c r="AL200" s="20">
        <f t="shared" si="53"/>
        <v>129</v>
      </c>
      <c r="AM200" s="115">
        <f t="shared" si="54"/>
        <v>-451500000</v>
      </c>
      <c r="AN200" s="20"/>
      <c r="AR200" t="s">
        <v>25</v>
      </c>
    </row>
    <row r="201" spans="7:45">
      <c r="G201" s="97" t="s">
        <v>1071</v>
      </c>
      <c r="H201" s="97">
        <v>200</v>
      </c>
      <c r="I201" s="97" t="s">
        <v>5534</v>
      </c>
      <c r="P201" s="112"/>
      <c r="Q201" s="19" t="s">
        <v>4970</v>
      </c>
      <c r="R201" s="19" t="s">
        <v>5149</v>
      </c>
      <c r="S201" s="115">
        <v>-200000</v>
      </c>
      <c r="T201" s="210" t="s">
        <v>4677</v>
      </c>
      <c r="U201" s="210">
        <v>160187</v>
      </c>
      <c r="V201" s="111">
        <v>257.49799999999999</v>
      </c>
      <c r="W201" s="111">
        <f t="shared" si="50"/>
        <v>41247832.126000002</v>
      </c>
      <c r="X201" s="97" t="s">
        <v>452</v>
      </c>
      <c r="Z201" t="s">
        <v>25</v>
      </c>
      <c r="AH201" s="97">
        <v>181</v>
      </c>
      <c r="AI201" s="111" t="s">
        <v>4258</v>
      </c>
      <c r="AJ201" s="111">
        <v>-1600000</v>
      </c>
      <c r="AK201" s="97">
        <v>1</v>
      </c>
      <c r="AL201" s="20">
        <f t="shared" si="53"/>
        <v>128</v>
      </c>
      <c r="AM201" s="115">
        <f t="shared" si="54"/>
        <v>-204800000</v>
      </c>
      <c r="AN201" s="20"/>
      <c r="AQ201" t="s">
        <v>25</v>
      </c>
    </row>
    <row r="202" spans="7:45">
      <c r="G202" s="97"/>
      <c r="H202" s="97"/>
      <c r="I202" s="97"/>
      <c r="P202" s="112"/>
      <c r="Q202" s="188" t="s">
        <v>5169</v>
      </c>
      <c r="R202" s="188" t="s">
        <v>5168</v>
      </c>
      <c r="S202" s="194">
        <v>1000000</v>
      </c>
      <c r="T202" s="210" t="s">
        <v>4684</v>
      </c>
      <c r="U202" s="210">
        <v>144401</v>
      </c>
      <c r="V202" s="111">
        <v>258.5061</v>
      </c>
      <c r="W202" s="111">
        <f t="shared" si="50"/>
        <v>37328539.346100003</v>
      </c>
      <c r="X202" s="97" t="s">
        <v>744</v>
      </c>
      <c r="AH202" s="97">
        <v>182</v>
      </c>
      <c r="AI202" s="111" t="s">
        <v>5174</v>
      </c>
      <c r="AJ202" s="111">
        <v>-800000</v>
      </c>
      <c r="AK202" s="97">
        <v>7</v>
      </c>
      <c r="AL202" s="20">
        <f t="shared" si="53"/>
        <v>127</v>
      </c>
      <c r="AM202" s="115">
        <f t="shared" si="54"/>
        <v>-101600000</v>
      </c>
      <c r="AN202" s="20"/>
    </row>
    <row r="203" spans="7:45">
      <c r="G203" s="97"/>
      <c r="H203" s="97"/>
      <c r="I203" s="97"/>
      <c r="P203" s="112"/>
      <c r="Q203" s="19" t="s">
        <v>4970</v>
      </c>
      <c r="R203" s="19" t="s">
        <v>5183</v>
      </c>
      <c r="S203" s="115">
        <v>-122000</v>
      </c>
      <c r="T203" s="210" t="s">
        <v>4684</v>
      </c>
      <c r="U203" s="210">
        <v>144401</v>
      </c>
      <c r="V203" s="111">
        <v>258.5061</v>
      </c>
      <c r="W203" s="111">
        <f t="shared" si="50"/>
        <v>37328539.346100003</v>
      </c>
      <c r="X203" s="97" t="s">
        <v>452</v>
      </c>
      <c r="Y203" s="120" t="s">
        <v>25</v>
      </c>
      <c r="AH203" s="97">
        <v>183</v>
      </c>
      <c r="AI203" s="111" t="s">
        <v>5183</v>
      </c>
      <c r="AJ203" s="111">
        <v>50000</v>
      </c>
      <c r="AK203" s="97">
        <v>2</v>
      </c>
      <c r="AL203" s="20">
        <f t="shared" si="53"/>
        <v>120</v>
      </c>
      <c r="AM203" s="115">
        <f t="shared" si="54"/>
        <v>6000000</v>
      </c>
      <c r="AN203" s="20"/>
    </row>
    <row r="204" spans="7:45">
      <c r="G204" s="97"/>
      <c r="H204" s="97"/>
      <c r="I204" s="97"/>
      <c r="K204" t="s">
        <v>25</v>
      </c>
      <c r="M204" t="s">
        <v>25</v>
      </c>
      <c r="P204" s="112"/>
      <c r="Q204" s="19" t="s">
        <v>4970</v>
      </c>
      <c r="R204" s="19" t="s">
        <v>5191</v>
      </c>
      <c r="S204" s="115">
        <v>-700000</v>
      </c>
      <c r="T204" s="166" t="s">
        <v>4690</v>
      </c>
      <c r="U204" s="166">
        <v>196500</v>
      </c>
      <c r="V204" s="111">
        <v>254.452</v>
      </c>
      <c r="W204" s="111">
        <f t="shared" si="50"/>
        <v>49999818</v>
      </c>
      <c r="X204" s="97" t="s">
        <v>4694</v>
      </c>
      <c r="AH204" s="97">
        <v>184</v>
      </c>
      <c r="AI204" s="111" t="s">
        <v>5185</v>
      </c>
      <c r="AJ204" s="111">
        <v>400000</v>
      </c>
      <c r="AK204" s="97">
        <v>8</v>
      </c>
      <c r="AL204" s="20">
        <f t="shared" ref="AL204:AL213" si="55">AL205+AK204</f>
        <v>118</v>
      </c>
      <c r="AM204" s="115">
        <f t="shared" ref="AM204:AM213" si="56">AJ204*AL204</f>
        <v>47200000</v>
      </c>
      <c r="AN204" s="20"/>
      <c r="AR204" t="s">
        <v>25</v>
      </c>
    </row>
    <row r="205" spans="7:45">
      <c r="G205" s="97"/>
      <c r="H205" s="97"/>
      <c r="I205" s="97"/>
      <c r="P205" s="112"/>
      <c r="Q205" s="19" t="s">
        <v>4970</v>
      </c>
      <c r="R205" s="19" t="s">
        <v>5201</v>
      </c>
      <c r="S205" s="115">
        <v>-60000</v>
      </c>
      <c r="T205" s="210" t="s">
        <v>4690</v>
      </c>
      <c r="U205" s="210">
        <v>2561</v>
      </c>
      <c r="V205" s="111">
        <v>254.536</v>
      </c>
      <c r="W205" s="111">
        <f t="shared" si="50"/>
        <v>651866.696</v>
      </c>
      <c r="X205" s="97" t="s">
        <v>4695</v>
      </c>
      <c r="Y205" t="s">
        <v>25</v>
      </c>
      <c r="AH205" s="97">
        <v>185</v>
      </c>
      <c r="AI205" s="111" t="s">
        <v>5159</v>
      </c>
      <c r="AJ205" s="111">
        <v>-10000000</v>
      </c>
      <c r="AK205" s="97">
        <v>0</v>
      </c>
      <c r="AL205" s="20">
        <f t="shared" si="55"/>
        <v>110</v>
      </c>
      <c r="AM205" s="115">
        <f t="shared" si="56"/>
        <v>-1100000000</v>
      </c>
      <c r="AN205" s="20" t="s">
        <v>4995</v>
      </c>
    </row>
    <row r="206" spans="7:45">
      <c r="P206" s="112"/>
      <c r="Q206" s="19" t="s">
        <v>4411</v>
      </c>
      <c r="R206" s="19" t="s">
        <v>5261</v>
      </c>
      <c r="S206" s="115">
        <v>700000</v>
      </c>
      <c r="T206" s="210" t="s">
        <v>4737</v>
      </c>
      <c r="U206" s="210">
        <v>-11795</v>
      </c>
      <c r="V206" s="111">
        <v>254.334</v>
      </c>
      <c r="W206" s="111">
        <f t="shared" si="50"/>
        <v>-2999869.5300000003</v>
      </c>
      <c r="X206" s="97" t="s">
        <v>4738</v>
      </c>
      <c r="AH206" s="97">
        <v>186</v>
      </c>
      <c r="AI206" s="111" t="s">
        <v>5159</v>
      </c>
      <c r="AJ206" s="111">
        <v>3000000</v>
      </c>
      <c r="AK206" s="97">
        <v>1</v>
      </c>
      <c r="AL206" s="20">
        <f t="shared" si="55"/>
        <v>110</v>
      </c>
      <c r="AM206" s="115">
        <f t="shared" si="56"/>
        <v>330000000</v>
      </c>
      <c r="AN206" s="20"/>
    </row>
    <row r="207" spans="7:45">
      <c r="G207" s="210" t="s">
        <v>180</v>
      </c>
      <c r="H207" s="210" t="s">
        <v>5557</v>
      </c>
      <c r="I207" t="s">
        <v>5550</v>
      </c>
      <c r="O207" t="s">
        <v>25</v>
      </c>
      <c r="P207" s="112"/>
      <c r="Q207" s="187" t="s">
        <v>5271</v>
      </c>
      <c r="R207" s="187" t="s">
        <v>5270</v>
      </c>
      <c r="S207" s="186">
        <v>-2000000</v>
      </c>
      <c r="T207" s="210" t="s">
        <v>4737</v>
      </c>
      <c r="U207" s="210">
        <v>11795</v>
      </c>
      <c r="V207" s="111">
        <v>254.334</v>
      </c>
      <c r="W207" s="111">
        <f t="shared" si="50"/>
        <v>2999869.5300000003</v>
      </c>
      <c r="X207" s="97" t="s">
        <v>4739</v>
      </c>
      <c r="AH207" s="97">
        <v>187</v>
      </c>
      <c r="AI207" s="111" t="s">
        <v>5197</v>
      </c>
      <c r="AJ207" s="111">
        <v>500000</v>
      </c>
      <c r="AK207" s="97">
        <v>23</v>
      </c>
      <c r="AL207" s="20">
        <f t="shared" si="55"/>
        <v>109</v>
      </c>
      <c r="AM207" s="115">
        <f t="shared" si="56"/>
        <v>54500000</v>
      </c>
      <c r="AN207" s="20"/>
      <c r="AR207" t="s">
        <v>25</v>
      </c>
    </row>
    <row r="208" spans="7:45">
      <c r="G208" s="210" t="s">
        <v>5519</v>
      </c>
      <c r="H208" s="1">
        <v>30000000</v>
      </c>
      <c r="I208" t="s">
        <v>5551</v>
      </c>
      <c r="Q208" s="187" t="s">
        <v>5279</v>
      </c>
      <c r="R208" s="187" t="s">
        <v>5273</v>
      </c>
      <c r="S208" s="186">
        <v>2000000</v>
      </c>
      <c r="T208" s="210" t="s">
        <v>4751</v>
      </c>
      <c r="U208" s="210">
        <v>260</v>
      </c>
      <c r="V208" s="111">
        <v>263.19</v>
      </c>
      <c r="W208" s="111">
        <f t="shared" si="50"/>
        <v>68429.399999999994</v>
      </c>
      <c r="X208" s="97" t="s">
        <v>452</v>
      </c>
      <c r="AH208" s="97">
        <v>188</v>
      </c>
      <c r="AI208" s="111" t="s">
        <v>5219</v>
      </c>
      <c r="AJ208" s="111">
        <v>101268</v>
      </c>
      <c r="AK208" s="97">
        <v>1</v>
      </c>
      <c r="AL208" s="20">
        <f t="shared" si="55"/>
        <v>86</v>
      </c>
      <c r="AM208" s="115">
        <f t="shared" si="56"/>
        <v>8709048</v>
      </c>
      <c r="AN208" s="20"/>
      <c r="AR208" t="s">
        <v>25</v>
      </c>
    </row>
    <row r="209" spans="7:46">
      <c r="G209" s="210" t="s">
        <v>5520</v>
      </c>
      <c r="H209" s="1">
        <v>550000</v>
      </c>
      <c r="I209" t="s">
        <v>5552</v>
      </c>
      <c r="P209" s="112"/>
      <c r="Q209" s="187" t="s">
        <v>1071</v>
      </c>
      <c r="R209" s="187" t="s">
        <v>5285</v>
      </c>
      <c r="S209" s="186">
        <v>40000000</v>
      </c>
      <c r="T209" s="210" t="s">
        <v>4760</v>
      </c>
      <c r="U209" s="210">
        <v>15257</v>
      </c>
      <c r="V209" s="111">
        <v>262.19018</v>
      </c>
      <c r="W209" s="111">
        <f t="shared" si="50"/>
        <v>4000235.57626</v>
      </c>
      <c r="X209" s="97" t="s">
        <v>452</v>
      </c>
      <c r="AH209" s="97">
        <v>189</v>
      </c>
      <c r="AI209" s="111" t="s">
        <v>5222</v>
      </c>
      <c r="AJ209" s="111">
        <v>101000</v>
      </c>
      <c r="AK209" s="97">
        <v>34</v>
      </c>
      <c r="AL209" s="20">
        <f t="shared" si="55"/>
        <v>85</v>
      </c>
      <c r="AM209" s="115">
        <f t="shared" si="56"/>
        <v>8585000</v>
      </c>
      <c r="AN209" s="20"/>
      <c r="AP209" t="s">
        <v>25</v>
      </c>
      <c r="AT209" s="94" t="s">
        <v>25</v>
      </c>
    </row>
    <row r="210" spans="7:46">
      <c r="G210" s="210" t="s">
        <v>5521</v>
      </c>
      <c r="H210" s="1">
        <v>70370000</v>
      </c>
      <c r="I210" t="s">
        <v>4085</v>
      </c>
      <c r="P210" s="112"/>
      <c r="Q210" s="19" t="s">
        <v>4411</v>
      </c>
      <c r="R210" s="19" t="s">
        <v>5290</v>
      </c>
      <c r="S210" s="115">
        <v>-800000</v>
      </c>
      <c r="T210" s="210" t="s">
        <v>4760</v>
      </c>
      <c r="U210" s="210">
        <v>8444</v>
      </c>
      <c r="V210" s="111">
        <v>266.43029999999999</v>
      </c>
      <c r="W210" s="111">
        <f t="shared" si="50"/>
        <v>2249737.4531999999</v>
      </c>
      <c r="X210" s="97" t="s">
        <v>452</v>
      </c>
      <c r="Y210" s="8" t="s">
        <v>25</v>
      </c>
      <c r="Z210" t="s">
        <v>25</v>
      </c>
      <c r="AH210" s="97">
        <v>190</v>
      </c>
      <c r="AI210" s="111" t="s">
        <v>5247</v>
      </c>
      <c r="AJ210" s="111">
        <v>-488602</v>
      </c>
      <c r="AK210" s="97">
        <v>5</v>
      </c>
      <c r="AL210" s="20">
        <f t="shared" si="55"/>
        <v>51</v>
      </c>
      <c r="AM210" s="115">
        <f t="shared" si="56"/>
        <v>-24918702</v>
      </c>
      <c r="AN210" s="20"/>
      <c r="AR210" t="s">
        <v>25</v>
      </c>
    </row>
    <row r="211" spans="7:46">
      <c r="G211" s="210" t="s">
        <v>5522</v>
      </c>
      <c r="H211" s="1">
        <v>1215000</v>
      </c>
      <c r="I211" t="s">
        <v>5553</v>
      </c>
      <c r="Q211" s="210" t="s">
        <v>4411</v>
      </c>
      <c r="R211" s="210" t="s">
        <v>5381</v>
      </c>
      <c r="S211" s="115">
        <v>700000</v>
      </c>
      <c r="T211" s="210" t="s">
        <v>4765</v>
      </c>
      <c r="U211" s="210">
        <v>-6209</v>
      </c>
      <c r="V211" s="111">
        <v>273.79649999999998</v>
      </c>
      <c r="W211" s="111">
        <f t="shared" si="50"/>
        <v>-1700002.4685</v>
      </c>
      <c r="X211" s="97" t="s">
        <v>4776</v>
      </c>
      <c r="AH211" s="97">
        <v>191</v>
      </c>
      <c r="AI211" s="111" t="s">
        <v>5261</v>
      </c>
      <c r="AJ211" s="111">
        <v>360000</v>
      </c>
      <c r="AK211" s="97">
        <v>10</v>
      </c>
      <c r="AL211" s="20">
        <f t="shared" si="55"/>
        <v>46</v>
      </c>
      <c r="AM211" s="115">
        <f t="shared" si="56"/>
        <v>16560000</v>
      </c>
      <c r="AN211" s="20"/>
      <c r="AR211" t="s">
        <v>25</v>
      </c>
    </row>
    <row r="212" spans="7:46">
      <c r="G212" s="210" t="s">
        <v>5523</v>
      </c>
      <c r="H212" s="1">
        <v>15350000</v>
      </c>
      <c r="I212" t="s">
        <v>5554</v>
      </c>
      <c r="P212" s="112"/>
      <c r="Q212" s="187" t="s">
        <v>5402</v>
      </c>
      <c r="R212" s="187" t="s">
        <v>5400</v>
      </c>
      <c r="S212" s="186">
        <v>-26000000</v>
      </c>
      <c r="T212" s="210" t="s">
        <v>4765</v>
      </c>
      <c r="U212" s="210">
        <v>-8014</v>
      </c>
      <c r="V212" s="111">
        <v>273.79649999999998</v>
      </c>
      <c r="W212" s="111">
        <f t="shared" si="50"/>
        <v>-2194205.1510000001</v>
      </c>
      <c r="X212" s="97" t="s">
        <v>744</v>
      </c>
      <c r="AH212" s="97">
        <v>192</v>
      </c>
      <c r="AI212" s="111" t="s">
        <v>5273</v>
      </c>
      <c r="AJ212" s="111">
        <v>-3600000</v>
      </c>
      <c r="AK212" s="97">
        <v>4</v>
      </c>
      <c r="AL212" s="20">
        <f t="shared" si="55"/>
        <v>36</v>
      </c>
      <c r="AM212" s="115">
        <f t="shared" si="56"/>
        <v>-129600000</v>
      </c>
      <c r="AN212" s="20"/>
      <c r="AS212" t="s">
        <v>25</v>
      </c>
    </row>
    <row r="213" spans="7:46">
      <c r="G213" s="210" t="s">
        <v>5525</v>
      </c>
      <c r="H213" s="1">
        <v>70000</v>
      </c>
      <c r="I213" t="s">
        <v>5555</v>
      </c>
      <c r="P213" s="112"/>
      <c r="Q213" s="187" t="s">
        <v>5402</v>
      </c>
      <c r="R213" s="187" t="s">
        <v>5405</v>
      </c>
      <c r="S213" s="186">
        <v>-95900000</v>
      </c>
      <c r="T213" s="210" t="s">
        <v>4774</v>
      </c>
      <c r="U213" s="210">
        <v>-9176</v>
      </c>
      <c r="V213" s="111">
        <v>273.79649999999998</v>
      </c>
      <c r="W213" s="111">
        <f t="shared" si="50"/>
        <v>-2512356.6839999999</v>
      </c>
      <c r="X213" s="97" t="s">
        <v>452</v>
      </c>
      <c r="AH213" s="97">
        <v>193</v>
      </c>
      <c r="AI213" s="111" t="s">
        <v>5282</v>
      </c>
      <c r="AJ213" s="111">
        <v>-1000000</v>
      </c>
      <c r="AK213" s="97">
        <v>5</v>
      </c>
      <c r="AL213" s="20">
        <f t="shared" si="55"/>
        <v>32</v>
      </c>
      <c r="AM213" s="115">
        <f t="shared" si="56"/>
        <v>-32000000</v>
      </c>
      <c r="AN213" s="20"/>
      <c r="AR213" t="s">
        <v>25</v>
      </c>
    </row>
    <row r="214" spans="7:46">
      <c r="G214" s="210" t="s">
        <v>5529</v>
      </c>
      <c r="H214" s="1">
        <v>800000</v>
      </c>
      <c r="I214" t="s">
        <v>5556</v>
      </c>
      <c r="Q214" s="187" t="s">
        <v>5402</v>
      </c>
      <c r="R214" s="187" t="s">
        <v>5406</v>
      </c>
      <c r="S214" s="186">
        <v>-28950000</v>
      </c>
      <c r="T214" s="210" t="s">
        <v>4774</v>
      </c>
      <c r="U214" s="210">
        <v>1087</v>
      </c>
      <c r="V214" s="111">
        <v>273.79649999999998</v>
      </c>
      <c r="W214" s="111">
        <f t="shared" si="50"/>
        <v>297616.79550000001</v>
      </c>
      <c r="X214" s="97" t="s">
        <v>452</v>
      </c>
      <c r="AH214" s="97">
        <v>194</v>
      </c>
      <c r="AI214" s="111" t="s">
        <v>5288</v>
      </c>
      <c r="AJ214" s="111">
        <v>360000</v>
      </c>
      <c r="AK214" s="97">
        <v>2</v>
      </c>
      <c r="AL214" s="20">
        <f>AL215+AK214</f>
        <v>27</v>
      </c>
      <c r="AM214" s="115">
        <f t="shared" ref="AM214:AM219" si="57">AJ214*AL214</f>
        <v>9720000</v>
      </c>
      <c r="AN214" s="20"/>
      <c r="AQ214" t="s">
        <v>25</v>
      </c>
    </row>
    <row r="215" spans="7:46">
      <c r="G215" s="210" t="s">
        <v>5545</v>
      </c>
      <c r="H215" s="1">
        <v>1948000</v>
      </c>
      <c r="P215" s="112"/>
      <c r="Q215" s="170" t="s">
        <v>5417</v>
      </c>
      <c r="R215" s="170" t="s">
        <v>5415</v>
      </c>
      <c r="S215" s="168">
        <v>2000000</v>
      </c>
      <c r="T215" s="210" t="s">
        <v>966</v>
      </c>
      <c r="U215" s="210">
        <v>-4017</v>
      </c>
      <c r="V215" s="111">
        <v>273.79649999999998</v>
      </c>
      <c r="W215" s="111">
        <f t="shared" si="50"/>
        <v>-1099840.5404999999</v>
      </c>
      <c r="X215" s="97" t="s">
        <v>4411</v>
      </c>
      <c r="AH215" s="97">
        <v>195</v>
      </c>
      <c r="AI215" s="111" t="s">
        <v>5293</v>
      </c>
      <c r="AJ215" s="111">
        <v>2000000</v>
      </c>
      <c r="AK215" s="97">
        <v>1</v>
      </c>
      <c r="AL215" s="20">
        <f>AL216+AK215</f>
        <v>25</v>
      </c>
      <c r="AM215" s="115">
        <f t="shared" si="57"/>
        <v>50000000</v>
      </c>
      <c r="AN215" s="20"/>
    </row>
    <row r="216" spans="7:46">
      <c r="G216" s="210" t="s">
        <v>5581</v>
      </c>
      <c r="H216" s="1">
        <v>5745697.3157000002</v>
      </c>
      <c r="Q216" s="210" t="s">
        <v>5423</v>
      </c>
      <c r="R216" s="210" t="s">
        <v>5421</v>
      </c>
      <c r="S216" s="111">
        <v>1896188</v>
      </c>
      <c r="T216" s="210" t="s">
        <v>966</v>
      </c>
      <c r="U216" s="210">
        <v>4017</v>
      </c>
      <c r="V216" s="111">
        <v>273.79649999999998</v>
      </c>
      <c r="W216" s="111">
        <f t="shared" si="50"/>
        <v>1099840.5404999999</v>
      </c>
      <c r="X216" s="97" t="s">
        <v>452</v>
      </c>
      <c r="AH216" s="97">
        <v>196</v>
      </c>
      <c r="AI216" s="111" t="s">
        <v>5296</v>
      </c>
      <c r="AJ216" s="111">
        <v>20000000</v>
      </c>
      <c r="AK216" s="97">
        <v>0</v>
      </c>
      <c r="AL216" s="20">
        <f>AL217+AK216</f>
        <v>24</v>
      </c>
      <c r="AM216" s="115">
        <f t="shared" si="57"/>
        <v>480000000</v>
      </c>
      <c r="AN216" s="20" t="s">
        <v>4692</v>
      </c>
      <c r="AR216" t="s">
        <v>25</v>
      </c>
    </row>
    <row r="217" spans="7:46">
      <c r="G217" s="210" t="s">
        <v>5582</v>
      </c>
      <c r="H217" s="1">
        <v>908158.17935999995</v>
      </c>
      <c r="P217" t="s">
        <v>25</v>
      </c>
      <c r="Q217" s="187" t="s">
        <v>5507</v>
      </c>
      <c r="R217" s="187" t="s">
        <v>5504</v>
      </c>
      <c r="S217" s="186">
        <v>0</v>
      </c>
      <c r="T217" s="210" t="s">
        <v>4781</v>
      </c>
      <c r="U217" s="210">
        <v>3137</v>
      </c>
      <c r="V217" s="111">
        <v>283.69110000000001</v>
      </c>
      <c r="W217" s="111">
        <f t="shared" si="50"/>
        <v>889938.98070000007</v>
      </c>
      <c r="X217" s="97" t="s">
        <v>452</v>
      </c>
      <c r="AH217" s="97">
        <v>197</v>
      </c>
      <c r="AI217" s="111" t="s">
        <v>5296</v>
      </c>
      <c r="AJ217" s="111">
        <v>-4700000</v>
      </c>
      <c r="AK217" s="97">
        <v>1</v>
      </c>
      <c r="AL217" s="20">
        <f>AL218+AK217</f>
        <v>24</v>
      </c>
      <c r="AM217" s="115">
        <f t="shared" si="57"/>
        <v>-112800000</v>
      </c>
      <c r="AN217" s="20"/>
    </row>
    <row r="218" spans="7:46">
      <c r="G218" s="210" t="s">
        <v>5583</v>
      </c>
      <c r="H218" s="1">
        <v>12642697.648548001</v>
      </c>
      <c r="Q218" s="187" t="s">
        <v>5603</v>
      </c>
      <c r="R218" s="187" t="s">
        <v>5598</v>
      </c>
      <c r="S218" s="186">
        <v>-1265000</v>
      </c>
      <c r="T218" s="210" t="s">
        <v>4794</v>
      </c>
      <c r="U218" s="210">
        <v>101933</v>
      </c>
      <c r="V218" s="111">
        <v>294.30973999999998</v>
      </c>
      <c r="W218" s="111">
        <f t="shared" si="50"/>
        <v>29999874.727419998</v>
      </c>
      <c r="X218" s="97" t="s">
        <v>1071</v>
      </c>
      <c r="AH218" s="97">
        <v>198</v>
      </c>
      <c r="AI218" s="111" t="s">
        <v>5300</v>
      </c>
      <c r="AJ218" s="111">
        <v>3000000</v>
      </c>
      <c r="AK218" s="97">
        <v>4</v>
      </c>
      <c r="AL218" s="20">
        <f>AL219+AK218</f>
        <v>23</v>
      </c>
      <c r="AM218" s="115">
        <f t="shared" si="57"/>
        <v>69000000</v>
      </c>
      <c r="AN218" s="20"/>
      <c r="AS218" t="s">
        <v>25</v>
      </c>
    </row>
    <row r="219" spans="7:46">
      <c r="G219" s="210" t="s">
        <v>5584</v>
      </c>
      <c r="H219" s="1">
        <v>12297318</v>
      </c>
      <c r="I219" t="s">
        <v>25</v>
      </c>
      <c r="P219" s="112"/>
      <c r="Q219" s="187" t="s">
        <v>5652</v>
      </c>
      <c r="R219" s="187" t="s">
        <v>4214</v>
      </c>
      <c r="S219" s="186">
        <v>13752871.322800001</v>
      </c>
      <c r="T219" s="210" t="s">
        <v>4801</v>
      </c>
      <c r="U219" s="210">
        <v>3407</v>
      </c>
      <c r="V219" s="111">
        <v>293.43799999999999</v>
      </c>
      <c r="W219" s="111">
        <f t="shared" si="50"/>
        <v>999743.26599999995</v>
      </c>
      <c r="X219" s="97" t="s">
        <v>452</v>
      </c>
      <c r="AH219" s="97">
        <v>199</v>
      </c>
      <c r="AI219" s="111" t="s">
        <v>5303</v>
      </c>
      <c r="AJ219" s="111">
        <v>1500000</v>
      </c>
      <c r="AK219" s="97">
        <v>1</v>
      </c>
      <c r="AL219" s="20">
        <f>AL226+AK219</f>
        <v>19</v>
      </c>
      <c r="AM219" s="115">
        <f t="shared" si="57"/>
        <v>28500000</v>
      </c>
      <c r="AN219" s="20"/>
    </row>
    <row r="220" spans="7:46">
      <c r="G220" s="210" t="s">
        <v>5585</v>
      </c>
      <c r="H220" s="1">
        <v>8959644</v>
      </c>
      <c r="P220" s="112"/>
      <c r="Q220" s="213" t="s">
        <v>5417</v>
      </c>
      <c r="R220" s="213" t="s">
        <v>5654</v>
      </c>
      <c r="S220" s="240">
        <v>-48150</v>
      </c>
      <c r="T220" s="210" t="s">
        <v>4802</v>
      </c>
      <c r="U220" s="210">
        <v>68796</v>
      </c>
      <c r="V220" s="111">
        <v>293.53250000000003</v>
      </c>
      <c r="W220" s="111">
        <f t="shared" si="50"/>
        <v>20193861.870000001</v>
      </c>
      <c r="X220" s="97" t="s">
        <v>744</v>
      </c>
      <c r="AH220" s="97">
        <v>200</v>
      </c>
      <c r="AI220" s="111" t="s">
        <v>5306</v>
      </c>
      <c r="AJ220" s="111">
        <v>30000000</v>
      </c>
      <c r="AK220" s="97">
        <v>33</v>
      </c>
      <c r="AL220" s="20" t="e">
        <f t="shared" ref="AL220:AL236" si="58">AL248+AK220</f>
        <v>#VALUE!</v>
      </c>
      <c r="AM220" s="115" t="e">
        <f t="shared" ref="AM220:AM225" si="59">AJ220*AL220</f>
        <v>#VALUE!</v>
      </c>
      <c r="AN220" s="20"/>
    </row>
    <row r="221" spans="7:46">
      <c r="G221" s="210" t="s">
        <v>5586</v>
      </c>
      <c r="H221" s="111">
        <v>15154095.839328</v>
      </c>
      <c r="P221" s="112"/>
      <c r="Q221" s="19" t="s">
        <v>5669</v>
      </c>
      <c r="R221" s="19" t="s">
        <v>5666</v>
      </c>
      <c r="S221" s="115">
        <v>3123901.3702000002</v>
      </c>
      <c r="T221" s="210" t="s">
        <v>4802</v>
      </c>
      <c r="U221" s="210">
        <v>154791</v>
      </c>
      <c r="V221" s="111">
        <v>293.53250000000003</v>
      </c>
      <c r="W221" s="111">
        <f t="shared" si="50"/>
        <v>45436189.207500003</v>
      </c>
      <c r="X221" s="97" t="s">
        <v>452</v>
      </c>
      <c r="AH221" s="97">
        <v>201</v>
      </c>
      <c r="AI221" s="111" t="s">
        <v>5385</v>
      </c>
      <c r="AJ221" s="111">
        <v>3000000</v>
      </c>
      <c r="AK221" s="97">
        <v>1</v>
      </c>
      <c r="AL221" s="20">
        <f t="shared" si="58"/>
        <v>1</v>
      </c>
      <c r="AM221" s="115">
        <f t="shared" si="59"/>
        <v>3000000</v>
      </c>
      <c r="AN221" s="20"/>
    </row>
    <row r="222" spans="7:46">
      <c r="G222" s="210" t="s">
        <v>5591</v>
      </c>
      <c r="H222" s="111">
        <v>4108143</v>
      </c>
      <c r="P222" s="112"/>
      <c r="Q222" s="213" t="s">
        <v>5417</v>
      </c>
      <c r="R222" s="213" t="s">
        <v>5680</v>
      </c>
      <c r="S222" s="240">
        <v>-50000</v>
      </c>
      <c r="T222" s="210" t="s">
        <v>4802</v>
      </c>
      <c r="U222" s="210">
        <v>-11923</v>
      </c>
      <c r="V222" s="111">
        <v>293.53250000000003</v>
      </c>
      <c r="W222" s="111">
        <f t="shared" si="50"/>
        <v>-3499787.9975000005</v>
      </c>
      <c r="X222" s="97" t="s">
        <v>452</v>
      </c>
      <c r="AH222" s="97">
        <v>202</v>
      </c>
      <c r="AI222" s="111" t="s">
        <v>5386</v>
      </c>
      <c r="AJ222" s="111">
        <v>7000000</v>
      </c>
      <c r="AK222" s="97">
        <v>4</v>
      </c>
      <c r="AL222" s="20">
        <f t="shared" si="58"/>
        <v>4</v>
      </c>
      <c r="AM222" s="115">
        <f t="shared" si="59"/>
        <v>28000000</v>
      </c>
      <c r="AN222" s="20"/>
    </row>
    <row r="223" spans="7:46">
      <c r="G223" s="210" t="s">
        <v>5598</v>
      </c>
      <c r="H223" s="111">
        <v>6000000</v>
      </c>
      <c r="P223" s="112"/>
      <c r="Q223" s="213" t="s">
        <v>5417</v>
      </c>
      <c r="R223" s="213" t="s">
        <v>5693</v>
      </c>
      <c r="S223" s="240">
        <v>120000</v>
      </c>
      <c r="T223" s="210" t="s">
        <v>4814</v>
      </c>
      <c r="U223" s="210">
        <v>8424</v>
      </c>
      <c r="V223" s="111">
        <v>299.15170000000001</v>
      </c>
      <c r="W223" s="111">
        <f t="shared" si="50"/>
        <v>2520053.9208</v>
      </c>
      <c r="X223" s="97" t="s">
        <v>452</v>
      </c>
      <c r="AH223" s="97">
        <v>203</v>
      </c>
      <c r="AI223" s="111" t="s">
        <v>5399</v>
      </c>
      <c r="AJ223" s="111">
        <v>8800000</v>
      </c>
      <c r="AK223" s="97">
        <v>2</v>
      </c>
      <c r="AL223" s="20">
        <f t="shared" si="58"/>
        <v>2</v>
      </c>
      <c r="AM223" s="115">
        <f t="shared" si="59"/>
        <v>17600000</v>
      </c>
      <c r="AN223" s="20"/>
    </row>
    <row r="224" spans="7:46">
      <c r="G224" s="210" t="s">
        <v>5602</v>
      </c>
      <c r="H224" s="111">
        <v>8301786</v>
      </c>
      <c r="I224" t="s">
        <v>25</v>
      </c>
      <c r="J224" t="s">
        <v>25</v>
      </c>
      <c r="P224" s="112"/>
      <c r="Q224" s="271" t="s">
        <v>5417</v>
      </c>
      <c r="R224" s="271" t="s">
        <v>5674</v>
      </c>
      <c r="S224" s="92">
        <v>150000</v>
      </c>
      <c r="T224" s="210" t="s">
        <v>4849</v>
      </c>
      <c r="U224" s="210">
        <v>15943</v>
      </c>
      <c r="V224" s="111">
        <v>307.34415000000001</v>
      </c>
      <c r="W224" s="111">
        <f t="shared" si="50"/>
        <v>4899987.78345</v>
      </c>
      <c r="X224" s="97" t="s">
        <v>452</v>
      </c>
      <c r="Z224" t="s">
        <v>25</v>
      </c>
      <c r="AH224" s="97">
        <v>204</v>
      </c>
      <c r="AI224" s="111" t="s">
        <v>5405</v>
      </c>
      <c r="AJ224" s="111">
        <v>40000000</v>
      </c>
      <c r="AK224" s="97">
        <v>8</v>
      </c>
      <c r="AL224" s="20">
        <f t="shared" si="58"/>
        <v>8</v>
      </c>
      <c r="AM224" s="115">
        <f t="shared" si="59"/>
        <v>320000000</v>
      </c>
      <c r="AN224" s="20" t="s">
        <v>4692</v>
      </c>
    </row>
    <row r="225" spans="4:45">
      <c r="G225" s="210" t="s">
        <v>5611</v>
      </c>
      <c r="H225" s="111">
        <v>50725508.571864001</v>
      </c>
      <c r="J225" t="s">
        <v>25</v>
      </c>
      <c r="P225" s="112"/>
      <c r="Q225" s="19"/>
      <c r="R225" s="19"/>
      <c r="S225" s="115"/>
      <c r="T225" s="210" t="s">
        <v>4868</v>
      </c>
      <c r="U225" s="210">
        <v>3741</v>
      </c>
      <c r="V225" s="111">
        <v>307.34415000000001</v>
      </c>
      <c r="W225" s="111">
        <f t="shared" si="50"/>
        <v>1149774.4651500001</v>
      </c>
      <c r="X225" s="97" t="s">
        <v>452</v>
      </c>
      <c r="AH225" s="97">
        <v>205</v>
      </c>
      <c r="AI225" s="111" t="s">
        <v>5421</v>
      </c>
      <c r="AJ225" s="111">
        <v>400000</v>
      </c>
      <c r="AK225" s="97">
        <v>17</v>
      </c>
      <c r="AL225" s="20">
        <f t="shared" si="58"/>
        <v>17</v>
      </c>
      <c r="AM225" s="115">
        <f t="shared" si="59"/>
        <v>6800000</v>
      </c>
      <c r="AN225" s="20"/>
      <c r="AR225" t="s">
        <v>25</v>
      </c>
    </row>
    <row r="226" spans="4:45">
      <c r="G226" s="210" t="s">
        <v>5613</v>
      </c>
      <c r="H226" s="111">
        <v>2281961.458596</v>
      </c>
      <c r="P226" s="112"/>
      <c r="Q226" s="210"/>
      <c r="R226" s="210"/>
      <c r="S226" s="111"/>
      <c r="T226" s="210" t="s">
        <v>4873</v>
      </c>
      <c r="U226" s="210">
        <v>-6207</v>
      </c>
      <c r="V226" s="111">
        <v>322.214</v>
      </c>
      <c r="W226" s="111">
        <f t="shared" si="50"/>
        <v>-1999982.298</v>
      </c>
      <c r="X226" s="97" t="s">
        <v>744</v>
      </c>
      <c r="Y226" t="s">
        <v>25</v>
      </c>
      <c r="AH226" s="97">
        <v>206</v>
      </c>
      <c r="AI226" s="111" t="s">
        <v>5441</v>
      </c>
      <c r="AJ226" s="111">
        <v>-20000000</v>
      </c>
      <c r="AK226" s="97">
        <v>18</v>
      </c>
      <c r="AL226" s="20">
        <f t="shared" si="58"/>
        <v>18</v>
      </c>
      <c r="AM226" s="115">
        <f t="shared" ref="AM226:AM229" si="60">AJ226*AL226</f>
        <v>-360000000</v>
      </c>
      <c r="AN226" s="20" t="s">
        <v>4995</v>
      </c>
    </row>
    <row r="227" spans="4:45">
      <c r="D227" s="94"/>
      <c r="E227" s="94"/>
      <c r="F227" s="94"/>
      <c r="G227" s="210" t="s">
        <v>5622</v>
      </c>
      <c r="H227" s="111">
        <v>10998285</v>
      </c>
      <c r="K227" t="s">
        <v>25</v>
      </c>
      <c r="P227" s="112"/>
      <c r="Q227" s="210"/>
      <c r="R227" s="210"/>
      <c r="S227" s="111">
        <f>SUM(S183:S226)</f>
        <v>1778365.6930000014</v>
      </c>
      <c r="T227" s="210" t="s">
        <v>4873</v>
      </c>
      <c r="U227" s="210">
        <v>6207</v>
      </c>
      <c r="V227" s="111">
        <v>322.214</v>
      </c>
      <c r="W227" s="111">
        <f t="shared" si="50"/>
        <v>1999982.298</v>
      </c>
      <c r="X227" s="97" t="s">
        <v>4411</v>
      </c>
      <c r="AH227" s="97">
        <v>207</v>
      </c>
      <c r="AI227" s="111" t="s">
        <v>5466</v>
      </c>
      <c r="AJ227" s="111">
        <v>3006000</v>
      </c>
      <c r="AK227" s="97">
        <v>19</v>
      </c>
      <c r="AL227" s="20">
        <f t="shared" si="58"/>
        <v>19</v>
      </c>
      <c r="AM227" s="115">
        <f t="shared" si="60"/>
        <v>57114000</v>
      </c>
      <c r="AN227" s="20"/>
    </row>
    <row r="228" spans="4:45">
      <c r="D228" s="94"/>
      <c r="E228" s="94"/>
      <c r="F228" s="94"/>
      <c r="G228" s="210" t="s">
        <v>5623</v>
      </c>
      <c r="H228" s="111">
        <v>983018.96187300002</v>
      </c>
      <c r="J228" t="s">
        <v>25</v>
      </c>
      <c r="Q228" s="41"/>
      <c r="R228" s="210"/>
      <c r="S228" s="210" t="s">
        <v>6</v>
      </c>
      <c r="T228" s="210" t="s">
        <v>4821</v>
      </c>
      <c r="U228" s="210">
        <v>776</v>
      </c>
      <c r="V228" s="111">
        <v>322.214</v>
      </c>
      <c r="W228" s="111">
        <f t="shared" si="50"/>
        <v>250038.06400000001</v>
      </c>
      <c r="X228" s="97" t="s">
        <v>452</v>
      </c>
      <c r="Y228" s="94" t="s">
        <v>25</v>
      </c>
      <c r="AH228" s="97">
        <v>208</v>
      </c>
      <c r="AI228" s="111" t="s">
        <v>5347</v>
      </c>
      <c r="AJ228" s="111">
        <v>-130382924</v>
      </c>
      <c r="AK228" s="97">
        <v>0</v>
      </c>
      <c r="AL228" s="20">
        <f t="shared" si="58"/>
        <v>0</v>
      </c>
      <c r="AM228" s="115">
        <f t="shared" si="60"/>
        <v>0</v>
      </c>
      <c r="AN228" s="20" t="s">
        <v>5500</v>
      </c>
      <c r="AR228" t="s">
        <v>25</v>
      </c>
    </row>
    <row r="229" spans="4:45">
      <c r="D229" s="94"/>
      <c r="E229" s="94"/>
      <c r="F229" s="94"/>
      <c r="G229" s="210" t="s">
        <v>5627</v>
      </c>
      <c r="H229" s="111">
        <v>17049271.032000002</v>
      </c>
      <c r="I229" s="94"/>
      <c r="J229" t="s">
        <v>25</v>
      </c>
      <c r="Q229" s="94"/>
      <c r="T229" s="210" t="s">
        <v>4897</v>
      </c>
      <c r="U229" s="210">
        <v>1524</v>
      </c>
      <c r="V229" s="111">
        <v>314.95999999999998</v>
      </c>
      <c r="W229" s="111">
        <f t="shared" si="50"/>
        <v>479999.04</v>
      </c>
      <c r="X229" s="97" t="s">
        <v>1071</v>
      </c>
      <c r="Y229" t="s">
        <v>25</v>
      </c>
      <c r="AH229" s="97">
        <v>209</v>
      </c>
      <c r="AI229" s="111" t="s">
        <v>5347</v>
      </c>
      <c r="AJ229" s="111">
        <v>125000000</v>
      </c>
      <c r="AK229" s="97">
        <v>1</v>
      </c>
      <c r="AL229" s="20">
        <f t="shared" si="58"/>
        <v>1</v>
      </c>
      <c r="AM229" s="115">
        <f t="shared" si="60"/>
        <v>125000000</v>
      </c>
      <c r="AN229" s="20"/>
      <c r="AR229" t="s">
        <v>25</v>
      </c>
    </row>
    <row r="230" spans="4:45">
      <c r="D230" s="94"/>
      <c r="E230" s="94"/>
      <c r="F230" s="94"/>
      <c r="G230" s="210" t="s">
        <v>5632</v>
      </c>
      <c r="H230" s="111">
        <v>6829998</v>
      </c>
      <c r="I230" s="94"/>
      <c r="P230" s="112" t="s">
        <v>25</v>
      </c>
      <c r="Q230" s="94" t="s">
        <v>25</v>
      </c>
      <c r="R230" s="94" t="s">
        <v>25</v>
      </c>
      <c r="T230" s="210" t="s">
        <v>4905</v>
      </c>
      <c r="U230" s="210">
        <v>4435</v>
      </c>
      <c r="V230" s="111">
        <v>316.4375</v>
      </c>
      <c r="W230" s="111">
        <f t="shared" si="50"/>
        <v>1403400.3125</v>
      </c>
      <c r="X230" s="97" t="s">
        <v>452</v>
      </c>
      <c r="AA230" t="s">
        <v>25</v>
      </c>
      <c r="AH230" s="97">
        <v>210</v>
      </c>
      <c r="AI230" s="111" t="s">
        <v>5499</v>
      </c>
      <c r="AJ230" s="111">
        <v>7200000</v>
      </c>
      <c r="AK230" s="97">
        <v>15</v>
      </c>
      <c r="AL230" s="20">
        <f t="shared" si="58"/>
        <v>15</v>
      </c>
      <c r="AM230" s="115">
        <f t="shared" ref="AM230:AM249" si="61">AJ230*AL230</f>
        <v>108000000</v>
      </c>
      <c r="AN230" s="20"/>
      <c r="AQ230" t="s">
        <v>25</v>
      </c>
      <c r="AS230" t="s">
        <v>25</v>
      </c>
    </row>
    <row r="231" spans="4:45">
      <c r="D231" s="94"/>
      <c r="E231" s="94"/>
      <c r="F231" s="94"/>
      <c r="G231" s="210" t="s">
        <v>4214</v>
      </c>
      <c r="H231" s="111">
        <v>6982608.8207999999</v>
      </c>
      <c r="I231" s="94"/>
      <c r="P231" s="112"/>
      <c r="Q231" s="94"/>
      <c r="R231" s="94" t="s">
        <v>25</v>
      </c>
      <c r="S231" t="s">
        <v>25</v>
      </c>
      <c r="T231" s="210" t="s">
        <v>4908</v>
      </c>
      <c r="U231" s="210">
        <v>624</v>
      </c>
      <c r="V231" s="111">
        <v>320.5</v>
      </c>
      <c r="W231" s="111">
        <f t="shared" si="50"/>
        <v>199992</v>
      </c>
      <c r="X231" s="97" t="s">
        <v>452</v>
      </c>
      <c r="AH231" s="97">
        <v>211</v>
      </c>
      <c r="AI231" s="111" t="s">
        <v>5525</v>
      </c>
      <c r="AJ231" s="111">
        <v>2050000</v>
      </c>
      <c r="AK231" s="97">
        <v>7</v>
      </c>
      <c r="AL231" s="20">
        <f t="shared" si="58"/>
        <v>7</v>
      </c>
      <c r="AM231" s="115">
        <f t="shared" si="61"/>
        <v>14350000</v>
      </c>
      <c r="AN231" s="20"/>
      <c r="AR231" t="s">
        <v>25</v>
      </c>
      <c r="AS231" t="s">
        <v>25</v>
      </c>
    </row>
    <row r="232" spans="4:45">
      <c r="D232" s="94"/>
      <c r="E232" s="94"/>
      <c r="F232" s="94"/>
      <c r="G232" s="210" t="s">
        <v>5658</v>
      </c>
      <c r="H232" s="111">
        <v>7510131.0216000006</v>
      </c>
      <c r="I232" s="94"/>
      <c r="J232" t="s">
        <v>25</v>
      </c>
      <c r="S232" t="s">
        <v>25</v>
      </c>
      <c r="T232" s="210" t="s">
        <v>4913</v>
      </c>
      <c r="U232" s="210">
        <v>1086</v>
      </c>
      <c r="V232" s="111">
        <v>317.55</v>
      </c>
      <c r="W232" s="111">
        <f t="shared" si="50"/>
        <v>344859.3</v>
      </c>
      <c r="X232" s="97" t="s">
        <v>452</v>
      </c>
      <c r="AH232" s="97">
        <v>212</v>
      </c>
      <c r="AI232" s="111" t="s">
        <v>5546</v>
      </c>
      <c r="AJ232" s="111">
        <v>50000000</v>
      </c>
      <c r="AK232" s="97">
        <v>24</v>
      </c>
      <c r="AL232" s="20">
        <f t="shared" si="58"/>
        <v>24</v>
      </c>
      <c r="AM232" s="115">
        <f t="shared" ref="AM232:AM248" si="62">AJ232*AL232</f>
        <v>1200000000</v>
      </c>
      <c r="AN232" s="20" t="s">
        <v>4692</v>
      </c>
    </row>
    <row r="233" spans="4:45">
      <c r="D233" s="94"/>
      <c r="E233" s="94"/>
      <c r="F233" s="94"/>
      <c r="G233" s="210" t="s">
        <v>5666</v>
      </c>
      <c r="H233" s="111">
        <v>10397191</v>
      </c>
      <c r="J233" t="s">
        <v>25</v>
      </c>
      <c r="K233" t="s">
        <v>25</v>
      </c>
      <c r="Q233" s="97" t="s">
        <v>744</v>
      </c>
      <c r="R233" s="97"/>
      <c r="S233" t="s">
        <v>25</v>
      </c>
      <c r="T233" s="210" t="s">
        <v>4918</v>
      </c>
      <c r="U233" s="210">
        <v>2820</v>
      </c>
      <c r="V233" s="111">
        <v>319.1096</v>
      </c>
      <c r="W233" s="111">
        <f t="shared" si="50"/>
        <v>899889.07200000004</v>
      </c>
      <c r="X233" s="97" t="s">
        <v>452</v>
      </c>
      <c r="Y233" t="s">
        <v>25</v>
      </c>
      <c r="AH233" s="97">
        <v>213</v>
      </c>
      <c r="AI233" s="111" t="s">
        <v>5598</v>
      </c>
      <c r="AJ233" s="111">
        <v>-58196600</v>
      </c>
      <c r="AK233" s="97">
        <v>22</v>
      </c>
      <c r="AL233" s="20">
        <f t="shared" si="58"/>
        <v>22</v>
      </c>
      <c r="AM233" s="115">
        <f t="shared" si="62"/>
        <v>-1280325200</v>
      </c>
      <c r="AN233" s="20" t="s">
        <v>4882</v>
      </c>
    </row>
    <row r="234" spans="4:45">
      <c r="G234" s="210" t="s">
        <v>5675</v>
      </c>
      <c r="H234" s="111">
        <v>195059.35799999998</v>
      </c>
      <c r="J234" t="s">
        <v>25</v>
      </c>
      <c r="Q234" s="97" t="s">
        <v>4404</v>
      </c>
      <c r="R234" s="93">
        <v>172908000</v>
      </c>
      <c r="T234" s="210" t="s">
        <v>4921</v>
      </c>
      <c r="U234" s="210">
        <v>1145</v>
      </c>
      <c r="V234" s="111">
        <v>325.44</v>
      </c>
      <c r="W234" s="111">
        <f t="shared" si="50"/>
        <v>372628.8</v>
      </c>
      <c r="X234" s="97" t="s">
        <v>452</v>
      </c>
      <c r="AH234" s="97">
        <v>214</v>
      </c>
      <c r="AI234" s="111" t="s">
        <v>5654</v>
      </c>
      <c r="AJ234" s="111">
        <v>25000</v>
      </c>
      <c r="AK234" s="97">
        <v>8</v>
      </c>
      <c r="AL234" s="20">
        <f t="shared" si="58"/>
        <v>8</v>
      </c>
      <c r="AM234" s="115">
        <f t="shared" si="62"/>
        <v>200000</v>
      </c>
      <c r="AN234" s="20"/>
    </row>
    <row r="235" spans="4:45">
      <c r="G235" s="210" t="s">
        <v>5680</v>
      </c>
      <c r="H235" s="111">
        <v>744082</v>
      </c>
      <c r="Q235" s="97" t="s">
        <v>4438</v>
      </c>
      <c r="R235" s="93">
        <v>1400000</v>
      </c>
      <c r="T235" s="210" t="s">
        <v>4929</v>
      </c>
      <c r="U235" s="210">
        <v>20153</v>
      </c>
      <c r="V235" s="111">
        <v>322</v>
      </c>
      <c r="W235" s="111">
        <f t="shared" si="50"/>
        <v>6489266</v>
      </c>
      <c r="X235" s="97" t="s">
        <v>452</v>
      </c>
      <c r="Z235" t="s">
        <v>25</v>
      </c>
      <c r="AA235" t="s">
        <v>25</v>
      </c>
      <c r="AH235" s="97">
        <v>215</v>
      </c>
      <c r="AI235" s="111" t="s">
        <v>5680</v>
      </c>
      <c r="AJ235" s="111">
        <v>70000</v>
      </c>
      <c r="AK235" s="97">
        <v>6</v>
      </c>
      <c r="AL235" s="20">
        <f t="shared" si="58"/>
        <v>6</v>
      </c>
      <c r="AM235" s="115">
        <f t="shared" si="62"/>
        <v>420000</v>
      </c>
      <c r="AN235" s="20"/>
    </row>
    <row r="236" spans="4:45">
      <c r="G236" s="210" t="s">
        <v>5683</v>
      </c>
      <c r="H236" s="111">
        <v>920308.446</v>
      </c>
      <c r="Q236" s="97" t="s">
        <v>4210</v>
      </c>
      <c r="R236" s="93">
        <v>247393</v>
      </c>
      <c r="S236" t="s">
        <v>25</v>
      </c>
      <c r="T236" s="210" t="s">
        <v>4939</v>
      </c>
      <c r="U236" s="210">
        <v>93720</v>
      </c>
      <c r="V236" s="111">
        <v>325.435</v>
      </c>
      <c r="W236" s="111">
        <f t="shared" si="50"/>
        <v>30499768.199999999</v>
      </c>
      <c r="X236" s="97" t="s">
        <v>1071</v>
      </c>
      <c r="AH236" s="97">
        <v>216</v>
      </c>
      <c r="AI236" s="111" t="s">
        <v>5693</v>
      </c>
      <c r="AJ236" s="111">
        <v>70000</v>
      </c>
      <c r="AK236" s="97">
        <v>1</v>
      </c>
      <c r="AL236" s="20">
        <f t="shared" si="58"/>
        <v>1</v>
      </c>
      <c r="AM236" s="115">
        <f t="shared" si="62"/>
        <v>70000</v>
      </c>
      <c r="AN236" s="20"/>
      <c r="AR236" t="s">
        <v>25</v>
      </c>
    </row>
    <row r="237" spans="4:45">
      <c r="G237" s="210" t="s">
        <v>5685</v>
      </c>
      <c r="H237" s="111">
        <v>4635809.8416840006</v>
      </c>
      <c r="Q237" s="97" t="s">
        <v>4209</v>
      </c>
      <c r="R237" s="93">
        <v>6780000</v>
      </c>
      <c r="T237" s="210" t="s">
        <v>4939</v>
      </c>
      <c r="U237" s="210">
        <v>20895</v>
      </c>
      <c r="V237" s="111">
        <v>325.435</v>
      </c>
      <c r="W237" s="111">
        <f t="shared" si="50"/>
        <v>6799964.3250000002</v>
      </c>
      <c r="X237" s="97" t="s">
        <v>744</v>
      </c>
      <c r="Y237" t="s">
        <v>25</v>
      </c>
      <c r="AH237" s="97">
        <v>217</v>
      </c>
      <c r="AI237" s="111" t="s">
        <v>5674</v>
      </c>
      <c r="AJ237" s="111">
        <v>150000</v>
      </c>
      <c r="AK237" s="97">
        <v>0</v>
      </c>
      <c r="AL237" s="20"/>
      <c r="AM237" s="115"/>
      <c r="AN237" s="20"/>
      <c r="AQ237" t="s">
        <v>25</v>
      </c>
      <c r="AS237" t="s">
        <v>25</v>
      </c>
    </row>
    <row r="238" spans="4:45">
      <c r="G238" s="210"/>
      <c r="H238" s="111"/>
      <c r="K238" t="s">
        <v>25</v>
      </c>
      <c r="Q238" s="97" t="s">
        <v>4541</v>
      </c>
      <c r="R238" s="93">
        <v>-4000000</v>
      </c>
      <c r="T238" s="210" t="s">
        <v>4948</v>
      </c>
      <c r="U238" s="210">
        <v>2611</v>
      </c>
      <c r="V238" s="111">
        <v>325.435</v>
      </c>
      <c r="W238" s="111">
        <f t="shared" si="50"/>
        <v>849710.78500000003</v>
      </c>
      <c r="X238" s="97" t="s">
        <v>744</v>
      </c>
      <c r="AH238" s="97">
        <v>218</v>
      </c>
      <c r="AI238" s="111" t="s">
        <v>5674</v>
      </c>
      <c r="AJ238" s="111">
        <v>-95599450</v>
      </c>
      <c r="AK238" s="97">
        <v>1</v>
      </c>
      <c r="AL238" s="20"/>
      <c r="AM238" s="115"/>
      <c r="AN238" s="20" t="s">
        <v>5699</v>
      </c>
      <c r="AR238" t="s">
        <v>25</v>
      </c>
    </row>
    <row r="239" spans="4:45">
      <c r="G239" s="210"/>
      <c r="H239" s="111"/>
      <c r="J239" t="s">
        <v>25</v>
      </c>
      <c r="Q239" s="97" t="s">
        <v>4567</v>
      </c>
      <c r="R239" s="93">
        <v>16727037</v>
      </c>
      <c r="T239" s="210" t="s">
        <v>4957</v>
      </c>
      <c r="U239" s="210">
        <v>6750</v>
      </c>
      <c r="V239" s="111">
        <v>339.3</v>
      </c>
      <c r="W239" s="111">
        <f t="shared" si="50"/>
        <v>2290275</v>
      </c>
      <c r="X239" s="97" t="s">
        <v>744</v>
      </c>
      <c r="AH239" s="97"/>
      <c r="AI239" s="111" t="s">
        <v>25</v>
      </c>
      <c r="AJ239" s="111"/>
      <c r="AK239" s="97"/>
      <c r="AL239" s="20"/>
      <c r="AM239" s="115"/>
      <c r="AN239" s="20"/>
      <c r="AR239" t="s">
        <v>25</v>
      </c>
    </row>
    <row r="240" spans="4:45">
      <c r="G240" s="210"/>
      <c r="H240" s="111"/>
      <c r="Q240" s="97" t="s">
        <v>4572</v>
      </c>
      <c r="R240" s="93">
        <v>46460683</v>
      </c>
      <c r="S240" t="s">
        <v>25</v>
      </c>
      <c r="T240" s="210" t="s">
        <v>4965</v>
      </c>
      <c r="U240" s="210">
        <v>1850</v>
      </c>
      <c r="V240" s="111">
        <v>334.10050000000001</v>
      </c>
      <c r="W240" s="111">
        <f t="shared" si="50"/>
        <v>618085.92500000005</v>
      </c>
      <c r="X240" s="97" t="s">
        <v>452</v>
      </c>
      <c r="AH240" s="97"/>
      <c r="AI240" s="111"/>
      <c r="AJ240" s="111"/>
      <c r="AK240" s="97"/>
      <c r="AL240" s="20"/>
      <c r="AM240" s="115"/>
      <c r="AN240" s="20"/>
    </row>
    <row r="241" spans="7:44">
      <c r="G241" s="210"/>
      <c r="H241" s="111"/>
      <c r="Q241" s="97" t="s">
        <v>4573</v>
      </c>
      <c r="R241" s="93">
        <v>19663646</v>
      </c>
      <c r="T241" s="210" t="s">
        <v>4965</v>
      </c>
      <c r="U241" s="210">
        <v>-1194</v>
      </c>
      <c r="V241" s="111">
        <v>335</v>
      </c>
      <c r="W241" s="111">
        <f t="shared" si="50"/>
        <v>-399990</v>
      </c>
      <c r="X241" s="97" t="s">
        <v>4411</v>
      </c>
      <c r="AH241" s="97"/>
      <c r="AI241" s="111"/>
      <c r="AJ241" s="111"/>
      <c r="AK241" s="97"/>
      <c r="AL241" s="20"/>
      <c r="AM241" s="115"/>
      <c r="AN241" s="20"/>
      <c r="AR241" t="s">
        <v>25</v>
      </c>
    </row>
    <row r="242" spans="7:44">
      <c r="G242" s="210"/>
      <c r="H242" s="111"/>
      <c r="Q242" s="97" t="s">
        <v>4596</v>
      </c>
      <c r="R242" s="93">
        <v>4374525</v>
      </c>
      <c r="T242" s="210" t="s">
        <v>4965</v>
      </c>
      <c r="U242" s="210">
        <v>1194</v>
      </c>
      <c r="V242" s="111">
        <v>335</v>
      </c>
      <c r="W242" s="111">
        <f t="shared" si="50"/>
        <v>399990</v>
      </c>
      <c r="X242" s="97" t="s">
        <v>744</v>
      </c>
      <c r="AH242" s="97"/>
      <c r="AI242" s="111"/>
      <c r="AJ242" s="111"/>
      <c r="AK242" s="97"/>
      <c r="AL242" s="20"/>
      <c r="AM242" s="115"/>
      <c r="AN242" s="20"/>
    </row>
    <row r="243" spans="7:44">
      <c r="G243" s="210"/>
      <c r="H243" s="111"/>
      <c r="Q243" s="97" t="s">
        <v>4607</v>
      </c>
      <c r="R243" s="93">
        <v>6550580</v>
      </c>
      <c r="T243" s="210" t="s">
        <v>4972</v>
      </c>
      <c r="U243" s="210">
        <v>433</v>
      </c>
      <c r="V243" s="111">
        <v>345.68</v>
      </c>
      <c r="W243" s="111">
        <f t="shared" si="50"/>
        <v>149679.44</v>
      </c>
      <c r="X243" s="97" t="s">
        <v>744</v>
      </c>
      <c r="AH243" s="97"/>
      <c r="AI243" s="111" t="s">
        <v>25</v>
      </c>
      <c r="AJ243" s="111"/>
      <c r="AK243" s="97"/>
      <c r="AL243" s="20"/>
      <c r="AM243" s="115"/>
      <c r="AN243" s="20"/>
    </row>
    <row r="244" spans="7:44">
      <c r="G244" s="210"/>
      <c r="H244" s="111"/>
      <c r="Q244" s="97" t="s">
        <v>4609</v>
      </c>
      <c r="R244" s="93">
        <v>6650895</v>
      </c>
      <c r="T244" s="210" t="s">
        <v>4976</v>
      </c>
      <c r="U244" s="210">
        <v>55459</v>
      </c>
      <c r="V244" s="111">
        <v>362.51978000000003</v>
      </c>
      <c r="W244" s="111">
        <f t="shared" si="50"/>
        <v>20104984.479020003</v>
      </c>
      <c r="X244" s="97" t="s">
        <v>452</v>
      </c>
      <c r="AH244" s="97"/>
      <c r="AI244" s="111"/>
      <c r="AJ244" s="111"/>
      <c r="AK244" s="97"/>
      <c r="AL244" s="20"/>
      <c r="AM244" s="115"/>
      <c r="AN244" s="20"/>
      <c r="AP244" t="s">
        <v>25</v>
      </c>
    </row>
    <row r="245" spans="7:44">
      <c r="G245" s="210" t="s">
        <v>5589</v>
      </c>
      <c r="H245" s="111">
        <v>-87000000</v>
      </c>
      <c r="J245" t="s">
        <v>25</v>
      </c>
      <c r="Q245" s="97" t="s">
        <v>4626</v>
      </c>
      <c r="R245" s="93">
        <v>2145814</v>
      </c>
      <c r="T245" s="210" t="s">
        <v>4980</v>
      </c>
      <c r="U245" s="210">
        <v>-57212</v>
      </c>
      <c r="V245" s="111">
        <v>368.45400000000001</v>
      </c>
      <c r="W245" s="111">
        <f t="shared" si="50"/>
        <v>-21079990.248</v>
      </c>
      <c r="X245" s="97" t="s">
        <v>452</v>
      </c>
      <c r="AH245" s="97"/>
      <c r="AI245" s="111"/>
      <c r="AJ245" s="111"/>
      <c r="AK245" s="97"/>
      <c r="AL245" s="20"/>
      <c r="AM245" s="115"/>
      <c r="AN245" s="20"/>
    </row>
    <row r="246" spans="7:44">
      <c r="G246" s="210"/>
      <c r="H246" s="111"/>
      <c r="Q246" s="97" t="s">
        <v>4637</v>
      </c>
      <c r="R246" s="93">
        <v>4369730</v>
      </c>
      <c r="T246" s="210" t="s">
        <v>4981</v>
      </c>
      <c r="U246" s="210">
        <v>-15881</v>
      </c>
      <c r="V246" s="111">
        <v>374.61599999999999</v>
      </c>
      <c r="W246" s="111">
        <f t="shared" si="50"/>
        <v>-5949276.6959999995</v>
      </c>
      <c r="X246" s="97" t="s">
        <v>452</v>
      </c>
      <c r="AH246" s="97"/>
      <c r="AI246" s="111"/>
      <c r="AJ246" s="111"/>
      <c r="AK246" s="97" t="s">
        <v>25</v>
      </c>
      <c r="AL246" s="20"/>
      <c r="AM246" s="115"/>
      <c r="AN246" s="20"/>
    </row>
    <row r="247" spans="7:44">
      <c r="G247" s="210"/>
      <c r="H247" s="1"/>
      <c r="Q247" s="97" t="s">
        <v>4639</v>
      </c>
      <c r="R247" s="93">
        <v>8739459</v>
      </c>
      <c r="S247" t="s">
        <v>25</v>
      </c>
      <c r="T247" s="210" t="s">
        <v>4987</v>
      </c>
      <c r="U247" s="210">
        <v>-41289</v>
      </c>
      <c r="V247" s="111">
        <v>372.27</v>
      </c>
      <c r="W247" s="111">
        <f t="shared" si="50"/>
        <v>-15370656.029999999</v>
      </c>
      <c r="X247" s="97" t="s">
        <v>452</v>
      </c>
      <c r="AH247" s="97"/>
      <c r="AI247" s="111"/>
      <c r="AJ247" s="111"/>
      <c r="AK247" s="97"/>
      <c r="AL247" s="20">
        <f t="shared" ref="AL247:AL248" si="63">AL265+AK247</f>
        <v>0</v>
      </c>
      <c r="AM247" s="115">
        <f t="shared" si="62"/>
        <v>0</v>
      </c>
      <c r="AN247" s="20"/>
    </row>
    <row r="248" spans="7:44">
      <c r="G248" s="210"/>
      <c r="H248" s="1"/>
      <c r="P248" t="s">
        <v>25</v>
      </c>
      <c r="Q248" s="97" t="s">
        <v>4648</v>
      </c>
      <c r="R248" s="93">
        <v>6667654</v>
      </c>
      <c r="T248" s="210" t="s">
        <v>4993</v>
      </c>
      <c r="U248" s="210">
        <v>13563</v>
      </c>
      <c r="V248" s="111">
        <v>365.69799999999998</v>
      </c>
      <c r="W248" s="111">
        <f t="shared" si="50"/>
        <v>4959961.9739999995</v>
      </c>
      <c r="X248" s="97" t="s">
        <v>452</v>
      </c>
      <c r="AH248" s="97"/>
      <c r="AI248" s="111"/>
      <c r="AJ248" s="111"/>
      <c r="AK248" s="97"/>
      <c r="AL248" s="20" t="e">
        <f t="shared" si="63"/>
        <v>#VALUE!</v>
      </c>
      <c r="AM248" s="115" t="e">
        <f t="shared" si="62"/>
        <v>#VALUE!</v>
      </c>
      <c r="AN248" s="20"/>
    </row>
    <row r="249" spans="7:44">
      <c r="G249" s="210"/>
      <c r="H249" s="1"/>
      <c r="Q249" s="97" t="s">
        <v>4656</v>
      </c>
      <c r="R249" s="93">
        <v>8981245</v>
      </c>
      <c r="T249" s="210" t="s">
        <v>4993</v>
      </c>
      <c r="U249" s="210">
        <v>27344</v>
      </c>
      <c r="V249" s="111">
        <v>365.69799999999998</v>
      </c>
      <c r="W249" s="111">
        <f t="shared" si="50"/>
        <v>9999646.1119999997</v>
      </c>
      <c r="X249" s="97" t="s">
        <v>452</v>
      </c>
      <c r="AH249" s="97"/>
      <c r="AI249" s="111"/>
      <c r="AJ249" s="111"/>
      <c r="AK249" s="97"/>
      <c r="AL249" s="20">
        <f t="shared" ref="AL249" si="64">AL264+AK249</f>
        <v>0</v>
      </c>
      <c r="AM249" s="115">
        <f t="shared" si="61"/>
        <v>0</v>
      </c>
      <c r="AN249" s="20"/>
      <c r="AP249" t="s">
        <v>25</v>
      </c>
    </row>
    <row r="250" spans="7:44" ht="30">
      <c r="G250" s="210" t="s">
        <v>6</v>
      </c>
      <c r="H250" s="1">
        <f>SUM(H208:H249)</f>
        <v>227673773.49535292</v>
      </c>
      <c r="Q250" s="97" t="s">
        <v>4660</v>
      </c>
      <c r="R250" s="93">
        <v>9181756</v>
      </c>
      <c r="T250" s="210" t="s">
        <v>5000</v>
      </c>
      <c r="U250" s="210">
        <v>-103145</v>
      </c>
      <c r="V250" s="111">
        <v>393.334</v>
      </c>
      <c r="W250" s="111">
        <f t="shared" si="50"/>
        <v>-40570435.43</v>
      </c>
      <c r="X250" s="36" t="s">
        <v>5005</v>
      </c>
      <c r="Y250" t="s">
        <v>25</v>
      </c>
      <c r="AH250" s="97"/>
      <c r="AI250" s="97"/>
      <c r="AJ250" s="93">
        <f>SUM(AJ20:AJ249)</f>
        <v>481055751</v>
      </c>
      <c r="AK250" s="97"/>
      <c r="AL250" s="97"/>
      <c r="AM250" s="93" t="e">
        <f>SUM(AM20:AM249)</f>
        <v>#VALUE!</v>
      </c>
      <c r="AN250" s="93" t="e">
        <f>AM250*AN253/31</f>
        <v>#VALUE!</v>
      </c>
    </row>
    <row r="251" spans="7:44">
      <c r="G251" s="321"/>
      <c r="H251" s="1"/>
      <c r="O251" t="s">
        <v>25</v>
      </c>
      <c r="Q251" s="97" t="s">
        <v>4663</v>
      </c>
      <c r="R251" s="93">
        <v>11811208</v>
      </c>
      <c r="S251" t="s">
        <v>25</v>
      </c>
      <c r="T251" s="210" t="s">
        <v>5000</v>
      </c>
      <c r="U251" s="210">
        <v>-369</v>
      </c>
      <c r="V251" s="111">
        <v>393.334</v>
      </c>
      <c r="W251" s="111">
        <f t="shared" si="50"/>
        <v>-145140.24600000001</v>
      </c>
      <c r="X251" s="36" t="s">
        <v>5079</v>
      </c>
      <c r="Y251" t="s">
        <v>25</v>
      </c>
      <c r="AH251" s="97"/>
      <c r="AI251" s="97"/>
      <c r="AJ251" s="97" t="s">
        <v>4043</v>
      </c>
      <c r="AK251" s="97"/>
      <c r="AL251" s="97"/>
      <c r="AM251" s="97" t="s">
        <v>284</v>
      </c>
      <c r="AN251" s="97" t="s">
        <v>928</v>
      </c>
    </row>
    <row r="252" spans="7:44">
      <c r="Q252" s="97" t="s">
        <v>4677</v>
      </c>
      <c r="R252" s="93">
        <v>41248054</v>
      </c>
      <c r="S252" t="s">
        <v>25</v>
      </c>
      <c r="T252" s="210" t="s">
        <v>5000</v>
      </c>
      <c r="U252" s="210">
        <v>-889</v>
      </c>
      <c r="V252" s="111">
        <v>393.334</v>
      </c>
      <c r="W252" s="111">
        <f t="shared" si="50"/>
        <v>-349673.92599999998</v>
      </c>
      <c r="X252" s="36" t="s">
        <v>5080</v>
      </c>
      <c r="AH252" s="97"/>
      <c r="AI252" s="97"/>
      <c r="AJ252" s="97"/>
      <c r="AK252" s="97"/>
      <c r="AL252" s="97"/>
      <c r="AM252" s="97"/>
      <c r="AN252" s="97"/>
    </row>
    <row r="253" spans="7:44">
      <c r="Q253" s="97" t="s">
        <v>4684</v>
      </c>
      <c r="R253" s="93">
        <v>37328780</v>
      </c>
      <c r="T253" s="210" t="s">
        <v>5009</v>
      </c>
      <c r="U253" s="210">
        <v>2546</v>
      </c>
      <c r="V253" s="111">
        <v>393</v>
      </c>
      <c r="W253" s="111">
        <f t="shared" si="50"/>
        <v>1000578</v>
      </c>
      <c r="X253" s="36" t="s">
        <v>452</v>
      </c>
      <c r="AH253" s="97"/>
      <c r="AI253" s="97"/>
      <c r="AJ253" s="97"/>
      <c r="AK253" s="97"/>
      <c r="AL253" s="97"/>
      <c r="AM253" s="97" t="s">
        <v>4044</v>
      </c>
      <c r="AN253" s="97">
        <v>1.6667000000000001E-2</v>
      </c>
      <c r="AQ253" t="s">
        <v>25</v>
      </c>
    </row>
    <row r="254" spans="7:44">
      <c r="G254" s="94"/>
      <c r="H254" s="9" t="s">
        <v>452</v>
      </c>
      <c r="Q254" s="97" t="s">
        <v>4765</v>
      </c>
      <c r="R254" s="93">
        <v>-2194100</v>
      </c>
      <c r="T254" s="210" t="s">
        <v>5010</v>
      </c>
      <c r="U254" s="210">
        <v>1034</v>
      </c>
      <c r="V254" s="111">
        <v>386.608</v>
      </c>
      <c r="W254" s="111">
        <f t="shared" si="50"/>
        <v>399752.67200000002</v>
      </c>
      <c r="X254" s="36" t="s">
        <v>452</v>
      </c>
      <c r="AH254" s="97"/>
      <c r="AI254" s="97"/>
      <c r="AJ254" s="97"/>
      <c r="AK254" s="97"/>
      <c r="AL254" s="97"/>
      <c r="AM254" s="97"/>
      <c r="AN254" s="97"/>
    </row>
    <row r="255" spans="7:44">
      <c r="G255" s="94"/>
      <c r="H255" s="9" t="s">
        <v>744</v>
      </c>
      <c r="P255" t="s">
        <v>25</v>
      </c>
      <c r="Q255" s="97" t="s">
        <v>4802</v>
      </c>
      <c r="R255" s="93">
        <v>20193916</v>
      </c>
      <c r="T255" s="210" t="s">
        <v>5017</v>
      </c>
      <c r="U255" s="210">
        <v>300</v>
      </c>
      <c r="V255" s="111">
        <v>400</v>
      </c>
      <c r="W255" s="111">
        <f t="shared" si="50"/>
        <v>120000</v>
      </c>
      <c r="X255" s="36" t="s">
        <v>452</v>
      </c>
      <c r="AH255" s="97"/>
      <c r="AI255" s="97" t="s">
        <v>4045</v>
      </c>
      <c r="AJ255" s="93" t="e">
        <f>AJ250+AN250</f>
        <v>#VALUE!</v>
      </c>
      <c r="AK255" s="97"/>
      <c r="AL255" s="97"/>
      <c r="AM255" s="97"/>
      <c r="AN255" s="97"/>
    </row>
    <row r="256" spans="7:44">
      <c r="G256" s="94"/>
      <c r="H256" s="9" t="s">
        <v>5501</v>
      </c>
      <c r="Q256" s="97" t="s">
        <v>4873</v>
      </c>
      <c r="R256" s="93">
        <v>-2000000</v>
      </c>
      <c r="T256" s="210" t="s">
        <v>5026</v>
      </c>
      <c r="U256" s="210">
        <v>782</v>
      </c>
      <c r="V256" s="111">
        <v>409</v>
      </c>
      <c r="W256" s="111">
        <f t="shared" si="50"/>
        <v>319838</v>
      </c>
      <c r="X256" s="36" t="s">
        <v>744</v>
      </c>
      <c r="AI256" t="s">
        <v>4048</v>
      </c>
      <c r="AJ256" s="112">
        <f>SUM(N42:N54)</f>
        <v>6863325190.7999992</v>
      </c>
      <c r="AM256" t="s">
        <v>25</v>
      </c>
    </row>
    <row r="257" spans="7:45">
      <c r="G257" s="94"/>
      <c r="H257" s="9" t="s">
        <v>1071</v>
      </c>
      <c r="Q257" s="97" t="s">
        <v>4939</v>
      </c>
      <c r="R257" s="93">
        <v>6800000</v>
      </c>
      <c r="S257" t="s">
        <v>25</v>
      </c>
      <c r="T257" s="210" t="s">
        <v>5030</v>
      </c>
      <c r="U257" s="210">
        <v>1220</v>
      </c>
      <c r="V257" s="111">
        <v>409.9</v>
      </c>
      <c r="W257" s="111">
        <f t="shared" si="50"/>
        <v>500078</v>
      </c>
      <c r="X257" s="36" t="s">
        <v>744</v>
      </c>
      <c r="AI257" t="s">
        <v>4120</v>
      </c>
      <c r="AJ257" s="112">
        <f>AJ256-AJ250</f>
        <v>6382269439.7999992</v>
      </c>
      <c r="AM257" t="s">
        <v>25</v>
      </c>
    </row>
    <row r="258" spans="7:45">
      <c r="H258" s="9" t="s">
        <v>5417</v>
      </c>
      <c r="Q258" s="97" t="s">
        <v>4948</v>
      </c>
      <c r="R258" s="93">
        <v>850000</v>
      </c>
      <c r="T258" s="210" t="s">
        <v>5032</v>
      </c>
      <c r="U258" s="210">
        <v>1285</v>
      </c>
      <c r="V258" s="111">
        <v>388.84</v>
      </c>
      <c r="W258" s="111">
        <f t="shared" si="50"/>
        <v>499659.39999999997</v>
      </c>
      <c r="X258" s="36" t="s">
        <v>452</v>
      </c>
      <c r="Z258" t="s">
        <v>25</v>
      </c>
      <c r="AI258" t="s">
        <v>928</v>
      </c>
      <c r="AJ258" s="112" t="e">
        <f>AN250</f>
        <v>#VALUE!</v>
      </c>
      <c r="AN258" t="s">
        <v>25</v>
      </c>
    </row>
    <row r="259" spans="7:45">
      <c r="H259" s="9" t="s">
        <v>5642</v>
      </c>
      <c r="Q259" s="97" t="s">
        <v>4957</v>
      </c>
      <c r="R259" s="93">
        <v>2290500</v>
      </c>
      <c r="T259" s="210" t="s">
        <v>5022</v>
      </c>
      <c r="U259" s="210">
        <v>1924</v>
      </c>
      <c r="V259" s="111">
        <v>386.69600000000003</v>
      </c>
      <c r="W259" s="111">
        <f t="shared" si="50"/>
        <v>744003.10400000005</v>
      </c>
      <c r="X259" s="36" t="s">
        <v>452</v>
      </c>
      <c r="AI259" t="s">
        <v>4049</v>
      </c>
      <c r="AJ259" s="112" t="e">
        <f>AJ256-AJ255</f>
        <v>#VALUE!</v>
      </c>
      <c r="AN259" t="s">
        <v>25</v>
      </c>
    </row>
    <row r="260" spans="7:45">
      <c r="H260" s="324" t="s">
        <v>5643</v>
      </c>
      <c r="Q260" s="97" t="s">
        <v>4965</v>
      </c>
      <c r="R260" s="93">
        <v>400000</v>
      </c>
      <c r="S260" t="s">
        <v>25</v>
      </c>
      <c r="T260" s="210" t="s">
        <v>5048</v>
      </c>
      <c r="U260" s="210">
        <v>165</v>
      </c>
      <c r="V260" s="111">
        <v>393.5</v>
      </c>
      <c r="W260" s="111">
        <f t="shared" si="50"/>
        <v>64927.5</v>
      </c>
      <c r="X260" s="36" t="s">
        <v>452</v>
      </c>
      <c r="AM260" t="s">
        <v>25</v>
      </c>
    </row>
    <row r="261" spans="7:45" ht="30">
      <c r="H261" s="324" t="s">
        <v>744</v>
      </c>
      <c r="Q261" s="97" t="s">
        <v>4972</v>
      </c>
      <c r="R261" s="93">
        <v>150000</v>
      </c>
      <c r="T261" s="210" t="s">
        <v>5054</v>
      </c>
      <c r="U261" s="210">
        <v>-34859</v>
      </c>
      <c r="V261" s="111">
        <v>403.1585</v>
      </c>
      <c r="W261" s="111">
        <f t="shared" si="50"/>
        <v>-14053702.1515</v>
      </c>
      <c r="X261" s="36" t="s">
        <v>5057</v>
      </c>
      <c r="AJ261" t="s">
        <v>25</v>
      </c>
    </row>
    <row r="262" spans="7:45">
      <c r="H262" s="9" t="s">
        <v>5644</v>
      </c>
      <c r="Q262" s="97" t="s">
        <v>5000</v>
      </c>
      <c r="R262" s="93">
        <v>-144950</v>
      </c>
      <c r="T262" s="210" t="s">
        <v>5023</v>
      </c>
      <c r="U262" s="210">
        <v>8476</v>
      </c>
      <c r="V262" s="111">
        <v>419.49900000000002</v>
      </c>
      <c r="W262" s="111">
        <f t="shared" si="50"/>
        <v>3555673.5240000002</v>
      </c>
      <c r="X262" s="36" t="s">
        <v>5063</v>
      </c>
    </row>
    <row r="263" spans="7:45">
      <c r="H263" s="9" t="s">
        <v>5645</v>
      </c>
      <c r="Q263" s="97" t="s">
        <v>5026</v>
      </c>
      <c r="R263" s="93">
        <v>320000</v>
      </c>
      <c r="T263" s="210" t="s">
        <v>5075</v>
      </c>
      <c r="U263" s="210">
        <v>903</v>
      </c>
      <c r="V263" s="111">
        <v>442.77379999999999</v>
      </c>
      <c r="W263" s="111">
        <f t="shared" si="50"/>
        <v>399824.7414</v>
      </c>
      <c r="X263" s="36" t="s">
        <v>744</v>
      </c>
    </row>
    <row r="264" spans="7:45">
      <c r="H264" s="9" t="s">
        <v>5678</v>
      </c>
      <c r="Q264" s="97" t="s">
        <v>5030</v>
      </c>
      <c r="R264" s="93">
        <v>500000</v>
      </c>
      <c r="S264" t="s">
        <v>25</v>
      </c>
      <c r="T264" s="210" t="s">
        <v>5078</v>
      </c>
      <c r="U264" s="210">
        <v>113</v>
      </c>
      <c r="V264" s="111">
        <v>442.48200000000003</v>
      </c>
      <c r="W264" s="111">
        <f t="shared" ref="W264:W353" si="65">U264*V264</f>
        <v>50000.466</v>
      </c>
      <c r="X264" s="36" t="s">
        <v>744</v>
      </c>
    </row>
    <row r="265" spans="7:45">
      <c r="H265" s="324"/>
      <c r="Q265" s="97" t="s">
        <v>5075</v>
      </c>
      <c r="R265" s="93">
        <v>400000</v>
      </c>
      <c r="S265" t="s">
        <v>25</v>
      </c>
      <c r="T265" s="210" t="s">
        <v>5088</v>
      </c>
      <c r="U265" s="210">
        <v>671</v>
      </c>
      <c r="V265" s="111">
        <v>447</v>
      </c>
      <c r="W265" s="111">
        <f t="shared" si="65"/>
        <v>299937</v>
      </c>
      <c r="X265" s="36" t="s">
        <v>744</v>
      </c>
    </row>
    <row r="266" spans="7:45">
      <c r="Q266" s="97" t="s">
        <v>5078</v>
      </c>
      <c r="R266" s="93">
        <v>50000</v>
      </c>
      <c r="S266" t="s">
        <v>25</v>
      </c>
      <c r="T266" s="210" t="s">
        <v>5090</v>
      </c>
      <c r="U266" s="210">
        <v>7</v>
      </c>
      <c r="V266" s="111">
        <v>465.31200000000001</v>
      </c>
      <c r="W266" s="111">
        <f t="shared" si="65"/>
        <v>3257.1840000000002</v>
      </c>
      <c r="X266" s="36" t="s">
        <v>452</v>
      </c>
      <c r="AH266" s="97" t="s">
        <v>3625</v>
      </c>
      <c r="AI266" s="97" t="s">
        <v>180</v>
      </c>
      <c r="AJ266" s="97" t="s">
        <v>267</v>
      </c>
      <c r="AK266" s="97" t="s">
        <v>4042</v>
      </c>
      <c r="AL266" s="97" t="s">
        <v>4034</v>
      </c>
      <c r="AM266" s="97" t="s">
        <v>282</v>
      </c>
      <c r="AN266" s="97" t="s">
        <v>4270</v>
      </c>
    </row>
    <row r="267" spans="7:45">
      <c r="Q267" s="97" t="s">
        <v>5088</v>
      </c>
      <c r="R267" s="93">
        <v>300000</v>
      </c>
      <c r="T267" s="210" t="s">
        <v>5096</v>
      </c>
      <c r="U267" s="210">
        <v>12950</v>
      </c>
      <c r="V267" s="111">
        <v>463.31599999999997</v>
      </c>
      <c r="W267" s="111">
        <f t="shared" si="65"/>
        <v>5999942.1999999993</v>
      </c>
      <c r="X267" s="36" t="s">
        <v>452</v>
      </c>
      <c r="Y267" t="s">
        <v>25</v>
      </c>
      <c r="AH267" s="97">
        <v>1</v>
      </c>
      <c r="AI267" s="97" t="s">
        <v>3933</v>
      </c>
      <c r="AJ267" s="115">
        <v>3555820</v>
      </c>
      <c r="AK267" s="97">
        <v>2</v>
      </c>
      <c r="AL267" s="97">
        <f>AK267+AL268</f>
        <v>740</v>
      </c>
      <c r="AM267" s="97">
        <f>AJ267*AL267</f>
        <v>2631306800</v>
      </c>
      <c r="AN267" s="97" t="s">
        <v>4288</v>
      </c>
      <c r="AS267" t="s">
        <v>25</v>
      </c>
    </row>
    <row r="268" spans="7:45">
      <c r="Q268" s="97" t="s">
        <v>5114</v>
      </c>
      <c r="R268" s="93">
        <v>250000</v>
      </c>
      <c r="T268" s="210" t="s">
        <v>5099</v>
      </c>
      <c r="U268" s="210">
        <v>37</v>
      </c>
      <c r="V268" s="111">
        <v>463.315</v>
      </c>
      <c r="W268" s="111">
        <f t="shared" si="65"/>
        <v>17142.654999999999</v>
      </c>
      <c r="X268" s="36" t="s">
        <v>452</v>
      </c>
      <c r="AA268" t="s">
        <v>25</v>
      </c>
      <c r="AH268" s="97">
        <v>2</v>
      </c>
      <c r="AI268" s="97" t="s">
        <v>4008</v>
      </c>
      <c r="AJ268" s="115">
        <v>1720837</v>
      </c>
      <c r="AK268" s="97">
        <v>51</v>
      </c>
      <c r="AL268" s="97">
        <f t="shared" ref="AL268:AL277" si="66">AK268+AL269</f>
        <v>738</v>
      </c>
      <c r="AM268" s="97">
        <f t="shared" ref="AM268:AM296" si="67">AJ268*AL268</f>
        <v>1269977706</v>
      </c>
      <c r="AN268" s="97" t="s">
        <v>4289</v>
      </c>
    </row>
    <row r="269" spans="7:45">
      <c r="Q269" s="97" t="s">
        <v>5149</v>
      </c>
      <c r="R269" s="93">
        <v>200000</v>
      </c>
      <c r="T269" s="210" t="s">
        <v>5100</v>
      </c>
      <c r="U269" s="210">
        <v>19</v>
      </c>
      <c r="V269" s="111">
        <v>434.3</v>
      </c>
      <c r="W269" s="111">
        <f t="shared" si="65"/>
        <v>8251.7000000000007</v>
      </c>
      <c r="X269" s="36" t="s">
        <v>452</v>
      </c>
      <c r="AH269" s="97">
        <v>3</v>
      </c>
      <c r="AI269" s="97" t="s">
        <v>4114</v>
      </c>
      <c r="AJ269" s="115">
        <v>150000</v>
      </c>
      <c r="AK269" s="97">
        <v>3</v>
      </c>
      <c r="AL269" s="97">
        <f t="shared" si="66"/>
        <v>687</v>
      </c>
      <c r="AM269" s="97">
        <f t="shared" si="67"/>
        <v>103050000</v>
      </c>
      <c r="AN269" s="97"/>
    </row>
    <row r="270" spans="7:45">
      <c r="Q270" s="97" t="s">
        <v>5183</v>
      </c>
      <c r="R270" s="93">
        <v>122000</v>
      </c>
      <c r="T270" s="210" t="s">
        <v>5102</v>
      </c>
      <c r="U270" s="210">
        <v>16</v>
      </c>
      <c r="V270" s="111">
        <v>439</v>
      </c>
      <c r="W270" s="111">
        <f t="shared" si="65"/>
        <v>7024</v>
      </c>
      <c r="X270" s="36" t="s">
        <v>452</v>
      </c>
      <c r="AH270" s="97">
        <v>4</v>
      </c>
      <c r="AI270" s="97" t="s">
        <v>4129</v>
      </c>
      <c r="AJ270" s="115">
        <v>-95000</v>
      </c>
      <c r="AK270" s="97">
        <v>8</v>
      </c>
      <c r="AL270" s="97">
        <f t="shared" si="66"/>
        <v>684</v>
      </c>
      <c r="AM270" s="97">
        <f t="shared" si="67"/>
        <v>-64980000</v>
      </c>
      <c r="AN270" s="97"/>
    </row>
    <row r="271" spans="7:45" ht="45">
      <c r="Q271" s="97" t="s">
        <v>5191</v>
      </c>
      <c r="R271" s="93">
        <v>200000</v>
      </c>
      <c r="S271" t="s">
        <v>25</v>
      </c>
      <c r="T271" s="210" t="s">
        <v>5102</v>
      </c>
      <c r="U271" s="210">
        <v>9191</v>
      </c>
      <c r="V271" s="111">
        <v>440.24630000000002</v>
      </c>
      <c r="W271" s="111">
        <f t="shared" si="65"/>
        <v>4046303.7433000002</v>
      </c>
      <c r="X271" s="36" t="s">
        <v>5103</v>
      </c>
      <c r="AH271" s="97">
        <v>5</v>
      </c>
      <c r="AI271" s="97" t="s">
        <v>4154</v>
      </c>
      <c r="AJ271" s="115">
        <v>3150000</v>
      </c>
      <c r="AK271" s="97">
        <v>16</v>
      </c>
      <c r="AL271" s="97">
        <f t="shared" si="66"/>
        <v>676</v>
      </c>
      <c r="AM271" s="97">
        <f t="shared" si="67"/>
        <v>2129400000</v>
      </c>
      <c r="AN271" s="97"/>
      <c r="AR271" t="s">
        <v>25</v>
      </c>
    </row>
    <row r="272" spans="7:45">
      <c r="Q272" s="97" t="s">
        <v>5201</v>
      </c>
      <c r="R272" s="93">
        <v>60000</v>
      </c>
      <c r="T272" s="210" t="s">
        <v>5105</v>
      </c>
      <c r="U272" s="210">
        <v>-8792</v>
      </c>
      <c r="V272" s="111">
        <v>441.90665999999999</v>
      </c>
      <c r="W272" s="111">
        <f t="shared" si="65"/>
        <v>-3885243.3547199997</v>
      </c>
      <c r="X272" s="36" t="s">
        <v>5106</v>
      </c>
      <c r="AH272" s="97">
        <v>6</v>
      </c>
      <c r="AI272" s="97" t="s">
        <v>4219</v>
      </c>
      <c r="AJ272" s="115">
        <v>-65000</v>
      </c>
      <c r="AK272" s="97">
        <v>1</v>
      </c>
      <c r="AL272" s="97">
        <f t="shared" si="66"/>
        <v>660</v>
      </c>
      <c r="AM272" s="97">
        <f t="shared" si="67"/>
        <v>-42900000</v>
      </c>
      <c r="AN272" s="97"/>
    </row>
    <row r="273" spans="15:40">
      <c r="Q273" s="97" t="s">
        <v>5261</v>
      </c>
      <c r="R273" s="93">
        <v>-200000</v>
      </c>
      <c r="S273" t="s">
        <v>25</v>
      </c>
      <c r="T273" s="187" t="s">
        <v>5109</v>
      </c>
      <c r="U273" s="187">
        <v>24374</v>
      </c>
      <c r="V273" s="186">
        <v>471.81700000000001</v>
      </c>
      <c r="W273" s="186">
        <f t="shared" si="65"/>
        <v>11500067.558</v>
      </c>
      <c r="X273" s="275" t="s">
        <v>5112</v>
      </c>
      <c r="Y273" t="s">
        <v>25</v>
      </c>
      <c r="AH273" s="97">
        <v>7</v>
      </c>
      <c r="AI273" s="97" t="s">
        <v>4290</v>
      </c>
      <c r="AJ273" s="115">
        <v>-95000</v>
      </c>
      <c r="AK273" s="97">
        <v>6</v>
      </c>
      <c r="AL273" s="97">
        <f t="shared" si="66"/>
        <v>659</v>
      </c>
      <c r="AM273" s="97">
        <f t="shared" si="67"/>
        <v>-62605000</v>
      </c>
      <c r="AN273" s="97"/>
    </row>
    <row r="274" spans="15:40">
      <c r="Q274" s="97" t="s">
        <v>5336</v>
      </c>
      <c r="R274" s="93">
        <v>-9000000</v>
      </c>
      <c r="T274" s="210" t="s">
        <v>5114</v>
      </c>
      <c r="U274" s="210">
        <v>530</v>
      </c>
      <c r="V274" s="111">
        <v>472</v>
      </c>
      <c r="W274" s="111">
        <f t="shared" si="65"/>
        <v>250160</v>
      </c>
      <c r="X274" s="36" t="s">
        <v>744</v>
      </c>
      <c r="Y274" t="s">
        <v>25</v>
      </c>
      <c r="AH274" s="97">
        <v>8</v>
      </c>
      <c r="AI274" s="97" t="s">
        <v>4291</v>
      </c>
      <c r="AJ274" s="115">
        <v>232000</v>
      </c>
      <c r="AK274" s="97">
        <v>7</v>
      </c>
      <c r="AL274" s="97">
        <f t="shared" si="66"/>
        <v>653</v>
      </c>
      <c r="AM274" s="97">
        <f t="shared" si="67"/>
        <v>151496000</v>
      </c>
      <c r="AN274" s="97"/>
    </row>
    <row r="275" spans="15:40" ht="30">
      <c r="Q275" s="97" t="s">
        <v>5400</v>
      </c>
      <c r="R275" s="93">
        <v>-26000000</v>
      </c>
      <c r="T275" s="210" t="s">
        <v>5114</v>
      </c>
      <c r="U275" s="210">
        <v>12</v>
      </c>
      <c r="V275" s="111">
        <v>481.86</v>
      </c>
      <c r="W275" s="111">
        <f t="shared" si="65"/>
        <v>5782.32</v>
      </c>
      <c r="X275" s="36" t="s">
        <v>5116</v>
      </c>
      <c r="AH275" s="97">
        <v>9</v>
      </c>
      <c r="AI275" s="97" t="s">
        <v>4269</v>
      </c>
      <c r="AJ275" s="115">
        <v>13000000</v>
      </c>
      <c r="AK275" s="97">
        <v>2</v>
      </c>
      <c r="AL275" s="97">
        <f t="shared" si="66"/>
        <v>646</v>
      </c>
      <c r="AM275" s="97">
        <f t="shared" si="67"/>
        <v>8398000000</v>
      </c>
      <c r="AN275" s="97"/>
    </row>
    <row r="276" spans="15:40">
      <c r="Q276" s="97" t="s">
        <v>5405</v>
      </c>
      <c r="R276" s="93">
        <v>-95900000</v>
      </c>
      <c r="T276" s="187" t="s">
        <v>5139</v>
      </c>
      <c r="U276" s="187">
        <v>12330</v>
      </c>
      <c r="V276" s="186">
        <v>486.63443869999998</v>
      </c>
      <c r="W276" s="186">
        <f t="shared" si="65"/>
        <v>6000202.6291709999</v>
      </c>
      <c r="X276" s="275" t="s">
        <v>5112</v>
      </c>
      <c r="AH276" s="97">
        <v>10</v>
      </c>
      <c r="AI276" s="97" t="s">
        <v>4292</v>
      </c>
      <c r="AJ276" s="115">
        <v>10000000</v>
      </c>
      <c r="AK276" s="97">
        <v>3</v>
      </c>
      <c r="AL276" s="97">
        <f t="shared" si="66"/>
        <v>644</v>
      </c>
      <c r="AM276" s="97">
        <f t="shared" si="67"/>
        <v>6440000000</v>
      </c>
      <c r="AN276" s="97"/>
    </row>
    <row r="277" spans="15:40">
      <c r="Q277" s="97" t="s">
        <v>5406</v>
      </c>
      <c r="R277" s="93">
        <v>-28950000</v>
      </c>
      <c r="S277" t="s">
        <v>25</v>
      </c>
      <c r="T277" s="210" t="s">
        <v>5141</v>
      </c>
      <c r="U277" s="210">
        <v>846</v>
      </c>
      <c r="V277" s="111">
        <v>472.7</v>
      </c>
      <c r="W277" s="111">
        <f t="shared" si="65"/>
        <v>399904.2</v>
      </c>
      <c r="X277" s="36" t="s">
        <v>452</v>
      </c>
      <c r="AH277" s="97">
        <v>11</v>
      </c>
      <c r="AI277" s="97" t="s">
        <v>4281</v>
      </c>
      <c r="AJ277" s="115">
        <v>3400000</v>
      </c>
      <c r="AK277" s="97">
        <v>9</v>
      </c>
      <c r="AL277" s="97">
        <f t="shared" si="66"/>
        <v>641</v>
      </c>
      <c r="AM277" s="97">
        <f t="shared" si="67"/>
        <v>2179400000</v>
      </c>
      <c r="AN277" s="97"/>
    </row>
    <row r="278" spans="15:40">
      <c r="Q278" s="97" t="s">
        <v>5598</v>
      </c>
      <c r="R278" s="93">
        <v>-93000000</v>
      </c>
      <c r="S278" t="s">
        <v>25</v>
      </c>
      <c r="T278" s="187" t="s">
        <v>5141</v>
      </c>
      <c r="U278" s="187">
        <v>3173</v>
      </c>
      <c r="V278" s="186">
        <v>472.7</v>
      </c>
      <c r="W278" s="186">
        <f t="shared" si="65"/>
        <v>1499877.0999999999</v>
      </c>
      <c r="X278" s="275" t="s">
        <v>5272</v>
      </c>
      <c r="AH278" s="97">
        <v>12</v>
      </c>
      <c r="AI278" s="97" t="s">
        <v>4318</v>
      </c>
      <c r="AJ278" s="115">
        <v>-8736514</v>
      </c>
      <c r="AK278" s="97">
        <v>1</v>
      </c>
      <c r="AL278" s="97">
        <f>AK278+AL279</f>
        <v>632</v>
      </c>
      <c r="AM278" s="97">
        <f t="shared" si="67"/>
        <v>-5521476848</v>
      </c>
      <c r="AN278" s="97"/>
    </row>
    <row r="279" spans="15:40">
      <c r="Q279" s="97" t="s">
        <v>5613</v>
      </c>
      <c r="R279" s="93">
        <v>50000000</v>
      </c>
      <c r="T279" s="210" t="s">
        <v>5145</v>
      </c>
      <c r="U279" s="210">
        <v>191</v>
      </c>
      <c r="V279" s="111">
        <v>484.572</v>
      </c>
      <c r="W279" s="111">
        <f t="shared" si="65"/>
        <v>92553.252000000008</v>
      </c>
      <c r="X279" s="36" t="s">
        <v>5146</v>
      </c>
      <c r="AH279" s="97">
        <v>13</v>
      </c>
      <c r="AI279" s="97" t="s">
        <v>4319</v>
      </c>
      <c r="AJ279" s="115">
        <v>555000</v>
      </c>
      <c r="AK279" s="97">
        <v>5</v>
      </c>
      <c r="AL279" s="97">
        <f t="shared" ref="AL279:AL295" si="68">AK279+AL280</f>
        <v>631</v>
      </c>
      <c r="AM279" s="97">
        <f t="shared" si="67"/>
        <v>350205000</v>
      </c>
      <c r="AN279" s="97"/>
    </row>
    <row r="280" spans="15:40">
      <c r="Q280" s="97" t="s">
        <v>4214</v>
      </c>
      <c r="R280" s="93">
        <v>2749471.1668000002</v>
      </c>
      <c r="T280" s="210" t="s">
        <v>5145</v>
      </c>
      <c r="U280" s="210">
        <v>-206</v>
      </c>
      <c r="V280" s="111">
        <v>484.572</v>
      </c>
      <c r="W280" s="111">
        <f t="shared" si="65"/>
        <v>-99821.831999999995</v>
      </c>
      <c r="X280" s="36" t="s">
        <v>5148</v>
      </c>
      <c r="AH280" s="97">
        <v>14</v>
      </c>
      <c r="AI280" s="97" t="s">
        <v>4343</v>
      </c>
      <c r="AJ280" s="115">
        <v>-448308</v>
      </c>
      <c r="AK280" s="97">
        <v>6</v>
      </c>
      <c r="AL280" s="97">
        <f t="shared" si="68"/>
        <v>626</v>
      </c>
      <c r="AM280" s="97">
        <f t="shared" si="67"/>
        <v>-280640808</v>
      </c>
      <c r="AN280" s="97"/>
    </row>
    <row r="281" spans="15:40">
      <c r="Q281" s="97"/>
      <c r="R281" s="93"/>
      <c r="T281" s="210" t="s">
        <v>5149</v>
      </c>
      <c r="U281" s="210">
        <v>20685</v>
      </c>
      <c r="V281" s="111">
        <v>483.43312200000003</v>
      </c>
      <c r="W281" s="111">
        <f t="shared" si="65"/>
        <v>9999814.1285699997</v>
      </c>
      <c r="X281" s="36" t="s">
        <v>5151</v>
      </c>
      <c r="AH281" s="97">
        <v>15</v>
      </c>
      <c r="AI281" s="97" t="s">
        <v>4370</v>
      </c>
      <c r="AJ281" s="115">
        <v>33225</v>
      </c>
      <c r="AK281" s="97">
        <v>0</v>
      </c>
      <c r="AL281" s="97">
        <f t="shared" si="68"/>
        <v>620</v>
      </c>
      <c r="AM281" s="97">
        <f t="shared" si="67"/>
        <v>20599500</v>
      </c>
      <c r="AN281" s="97"/>
    </row>
    <row r="282" spans="15:40">
      <c r="Q282" s="97"/>
      <c r="R282" s="93">
        <f>SUM(R234:R281)</f>
        <v>236683296.16679999</v>
      </c>
      <c r="T282" s="210" t="s">
        <v>5149</v>
      </c>
      <c r="U282" s="210">
        <v>-413</v>
      </c>
      <c r="V282" s="111">
        <v>483.40199999999999</v>
      </c>
      <c r="W282" s="111">
        <f t="shared" si="65"/>
        <v>-199645.02599999998</v>
      </c>
      <c r="X282" s="36" t="s">
        <v>4411</v>
      </c>
      <c r="AH282" s="147">
        <v>16</v>
      </c>
      <c r="AI282" s="147" t="s">
        <v>4370</v>
      </c>
      <c r="AJ282" s="186">
        <v>4098523</v>
      </c>
      <c r="AK282" s="147">
        <v>2</v>
      </c>
      <c r="AL282" s="147">
        <f t="shared" si="68"/>
        <v>620</v>
      </c>
      <c r="AM282" s="147">
        <f t="shared" si="67"/>
        <v>2541084260</v>
      </c>
      <c r="AN282" s="147" t="s">
        <v>650</v>
      </c>
    </row>
    <row r="283" spans="15:40">
      <c r="O283" t="s">
        <v>25</v>
      </c>
      <c r="Q283" s="97"/>
      <c r="R283" s="97" t="s">
        <v>6</v>
      </c>
      <c r="S283" t="s">
        <v>25</v>
      </c>
      <c r="T283" s="210" t="s">
        <v>5149</v>
      </c>
      <c r="U283" s="210">
        <v>413</v>
      </c>
      <c r="V283" s="111">
        <v>483.40199999999999</v>
      </c>
      <c r="W283" s="111">
        <f t="shared" si="65"/>
        <v>199645.02599999998</v>
      </c>
      <c r="X283" s="36" t="s">
        <v>744</v>
      </c>
      <c r="AH283" s="147">
        <v>17</v>
      </c>
      <c r="AI283" s="147" t="s">
        <v>4381</v>
      </c>
      <c r="AJ283" s="186">
        <v>-1000000</v>
      </c>
      <c r="AK283" s="147">
        <v>7</v>
      </c>
      <c r="AL283" s="147">
        <f t="shared" si="68"/>
        <v>618</v>
      </c>
      <c r="AM283" s="147">
        <f t="shared" si="67"/>
        <v>-618000000</v>
      </c>
      <c r="AN283" s="147" t="s">
        <v>650</v>
      </c>
    </row>
    <row r="284" spans="15:40">
      <c r="R284" t="s">
        <v>25</v>
      </c>
      <c r="T284" s="210" t="s">
        <v>5154</v>
      </c>
      <c r="U284" s="210">
        <v>-828</v>
      </c>
      <c r="V284" s="111">
        <v>483.43312200000003</v>
      </c>
      <c r="W284" s="111">
        <f t="shared" si="65"/>
        <v>-400282.62501600001</v>
      </c>
      <c r="X284" s="36" t="s">
        <v>452</v>
      </c>
      <c r="AH284" s="147">
        <v>18</v>
      </c>
      <c r="AI284" s="147" t="s">
        <v>4401</v>
      </c>
      <c r="AJ284" s="186">
        <v>750000</v>
      </c>
      <c r="AK284" s="147">
        <v>1</v>
      </c>
      <c r="AL284" s="147">
        <f t="shared" si="68"/>
        <v>611</v>
      </c>
      <c r="AM284" s="147">
        <f t="shared" si="67"/>
        <v>458250000</v>
      </c>
      <c r="AN284" s="147" t="s">
        <v>650</v>
      </c>
    </row>
    <row r="285" spans="15:40">
      <c r="T285" s="210" t="s">
        <v>5157</v>
      </c>
      <c r="U285" s="210">
        <v>12</v>
      </c>
      <c r="V285" s="111">
        <v>473.61898300000001</v>
      </c>
      <c r="W285" s="111">
        <f t="shared" si="65"/>
        <v>5683.4277959999999</v>
      </c>
      <c r="X285" s="36" t="s">
        <v>452</v>
      </c>
      <c r="AH285" s="193">
        <v>19</v>
      </c>
      <c r="AI285" s="193" t="s">
        <v>4402</v>
      </c>
      <c r="AJ285" s="194">
        <v>-604152</v>
      </c>
      <c r="AK285" s="193">
        <v>0</v>
      </c>
      <c r="AL285" s="193">
        <f t="shared" si="68"/>
        <v>610</v>
      </c>
      <c r="AM285" s="193">
        <f t="shared" si="67"/>
        <v>-368532720</v>
      </c>
      <c r="AN285" s="193" t="s">
        <v>650</v>
      </c>
    </row>
    <row r="286" spans="15:40">
      <c r="Q286" s="97" t="s">
        <v>452</v>
      </c>
      <c r="R286" s="97"/>
      <c r="T286" s="210" t="s">
        <v>5160</v>
      </c>
      <c r="U286" s="210">
        <v>963</v>
      </c>
      <c r="V286" s="111">
        <v>477.92200000000003</v>
      </c>
      <c r="W286" s="111">
        <f t="shared" si="65"/>
        <v>460238.886</v>
      </c>
      <c r="X286" s="36" t="s">
        <v>452</v>
      </c>
      <c r="AH286" s="97">
        <v>20</v>
      </c>
      <c r="AI286" s="97" t="s">
        <v>4403</v>
      </c>
      <c r="AJ286" s="115">
        <v>-587083</v>
      </c>
      <c r="AK286" s="97">
        <v>4</v>
      </c>
      <c r="AL286" s="97">
        <f t="shared" si="68"/>
        <v>610</v>
      </c>
      <c r="AM286" s="97">
        <f t="shared" si="67"/>
        <v>-358120630</v>
      </c>
      <c r="AN286" s="97"/>
    </row>
    <row r="287" spans="15:40">
      <c r="Q287" s="97" t="s">
        <v>4404</v>
      </c>
      <c r="R287" s="93">
        <v>63115000</v>
      </c>
      <c r="S287" t="s">
        <v>25</v>
      </c>
      <c r="T287" s="210" t="s">
        <v>5161</v>
      </c>
      <c r="U287" s="210">
        <v>2815</v>
      </c>
      <c r="V287" s="111">
        <v>461.79</v>
      </c>
      <c r="W287" s="111">
        <f t="shared" si="65"/>
        <v>1299938.8500000001</v>
      </c>
      <c r="X287" s="36" t="s">
        <v>452</v>
      </c>
      <c r="AH287" s="193">
        <v>21</v>
      </c>
      <c r="AI287" s="193" t="s">
        <v>4404</v>
      </c>
      <c r="AJ287" s="194">
        <v>-754351</v>
      </c>
      <c r="AK287" s="193">
        <v>0</v>
      </c>
      <c r="AL287" s="147">
        <f t="shared" si="68"/>
        <v>606</v>
      </c>
      <c r="AM287" s="193">
        <f t="shared" si="67"/>
        <v>-457136706</v>
      </c>
      <c r="AN287" s="193" t="s">
        <v>650</v>
      </c>
    </row>
    <row r="288" spans="15:40">
      <c r="Q288" s="97" t="s">
        <v>4451</v>
      </c>
      <c r="R288" s="93">
        <v>13300000</v>
      </c>
      <c r="T288" s="210" t="s">
        <v>5161</v>
      </c>
      <c r="U288" s="210">
        <v>1581</v>
      </c>
      <c r="V288" s="111">
        <v>461.79</v>
      </c>
      <c r="W288" s="111">
        <f t="shared" si="65"/>
        <v>730089.99</v>
      </c>
      <c r="X288" s="36" t="s">
        <v>452</v>
      </c>
      <c r="AH288" s="97">
        <v>22</v>
      </c>
      <c r="AI288" s="97" t="s">
        <v>4404</v>
      </c>
      <c r="AJ288" s="115">
        <v>-189619</v>
      </c>
      <c r="AK288" s="97">
        <v>15</v>
      </c>
      <c r="AL288" s="97">
        <f t="shared" si="68"/>
        <v>606</v>
      </c>
      <c r="AM288" s="97">
        <f t="shared" si="67"/>
        <v>-114909114</v>
      </c>
      <c r="AN288" s="97"/>
    </row>
    <row r="289" spans="15:44">
      <c r="Q289" s="97" t="s">
        <v>4459</v>
      </c>
      <c r="R289" s="93">
        <v>2269000</v>
      </c>
      <c r="T289" s="187" t="s">
        <v>5168</v>
      </c>
      <c r="U289" s="187">
        <v>1916</v>
      </c>
      <c r="V289" s="186">
        <v>521.70000000000005</v>
      </c>
      <c r="W289" s="186">
        <f t="shared" si="65"/>
        <v>999577.20000000007</v>
      </c>
      <c r="X289" s="275" t="s">
        <v>5272</v>
      </c>
      <c r="AH289" s="193">
        <v>23</v>
      </c>
      <c r="AI289" s="193" t="s">
        <v>4469</v>
      </c>
      <c r="AJ289" s="186">
        <v>7100</v>
      </c>
      <c r="AK289" s="193">
        <v>0</v>
      </c>
      <c r="AL289" s="147">
        <f t="shared" si="68"/>
        <v>591</v>
      </c>
      <c r="AM289" s="193">
        <f t="shared" si="67"/>
        <v>4196100</v>
      </c>
      <c r="AN289" s="193" t="s">
        <v>650</v>
      </c>
    </row>
    <row r="290" spans="15:44">
      <c r="Q290" s="97" t="s">
        <v>4563</v>
      </c>
      <c r="R290" s="93">
        <v>25071612</v>
      </c>
      <c r="T290" s="210" t="s">
        <v>977</v>
      </c>
      <c r="U290" s="210">
        <v>41</v>
      </c>
      <c r="V290" s="111">
        <v>514.48099999999999</v>
      </c>
      <c r="W290" s="111">
        <f t="shared" si="65"/>
        <v>21093.721000000001</v>
      </c>
      <c r="X290" s="36" t="s">
        <v>5146</v>
      </c>
      <c r="AH290" s="20">
        <v>24</v>
      </c>
      <c r="AI290" s="20" t="s">
        <v>4469</v>
      </c>
      <c r="AJ290" s="115">
        <v>-147902</v>
      </c>
      <c r="AK290" s="20">
        <v>3</v>
      </c>
      <c r="AL290" s="97">
        <f t="shared" si="68"/>
        <v>591</v>
      </c>
      <c r="AM290" s="20">
        <f t="shared" si="67"/>
        <v>-87410082</v>
      </c>
      <c r="AN290" s="20"/>
    </row>
    <row r="291" spans="15:44">
      <c r="O291" t="s">
        <v>25</v>
      </c>
      <c r="Q291" s="97" t="s">
        <v>4572</v>
      </c>
      <c r="R291" s="93">
        <v>42236984</v>
      </c>
      <c r="T291" s="210" t="s">
        <v>4258</v>
      </c>
      <c r="U291" s="210">
        <v>71</v>
      </c>
      <c r="V291" s="111">
        <v>482.57</v>
      </c>
      <c r="W291" s="111">
        <f t="shared" si="65"/>
        <v>34262.47</v>
      </c>
      <c r="X291" s="36" t="s">
        <v>5146</v>
      </c>
      <c r="AH291" s="147">
        <v>25</v>
      </c>
      <c r="AI291" s="147" t="s">
        <v>4477</v>
      </c>
      <c r="AJ291" s="186">
        <v>-37200</v>
      </c>
      <c r="AK291" s="147">
        <v>4</v>
      </c>
      <c r="AL291" s="147">
        <f t="shared" si="68"/>
        <v>588</v>
      </c>
      <c r="AM291" s="193">
        <f t="shared" si="67"/>
        <v>-21873600</v>
      </c>
      <c r="AN291" s="147" t="s">
        <v>650</v>
      </c>
    </row>
    <row r="292" spans="15:44">
      <c r="Q292" s="97" t="s">
        <v>4573</v>
      </c>
      <c r="R292" s="93">
        <v>19663646</v>
      </c>
      <c r="T292" s="210" t="s">
        <v>5183</v>
      </c>
      <c r="U292" s="210">
        <v>-250</v>
      </c>
      <c r="V292" s="111">
        <v>487.125</v>
      </c>
      <c r="W292" s="111">
        <f t="shared" si="65"/>
        <v>-121781.25</v>
      </c>
      <c r="X292" s="36" t="s">
        <v>4411</v>
      </c>
      <c r="AH292" s="97">
        <v>26</v>
      </c>
      <c r="AI292" s="97" t="s">
        <v>4507</v>
      </c>
      <c r="AJ292" s="115">
        <v>-372326</v>
      </c>
      <c r="AK292" s="97">
        <v>21</v>
      </c>
      <c r="AL292" s="97">
        <f t="shared" si="68"/>
        <v>584</v>
      </c>
      <c r="AM292" s="20">
        <f t="shared" si="67"/>
        <v>-217438384</v>
      </c>
      <c r="AN292" s="97"/>
    </row>
    <row r="293" spans="15:44">
      <c r="Q293" s="97" t="s">
        <v>4596</v>
      </c>
      <c r="R293" s="93">
        <v>4374525</v>
      </c>
      <c r="T293" s="210" t="s">
        <v>5183</v>
      </c>
      <c r="U293" s="210">
        <v>250</v>
      </c>
      <c r="V293" s="111">
        <v>487.125</v>
      </c>
      <c r="W293" s="111">
        <f t="shared" si="65"/>
        <v>121781.25</v>
      </c>
      <c r="X293" s="36" t="s">
        <v>744</v>
      </c>
      <c r="AH293" s="97">
        <v>27</v>
      </c>
      <c r="AI293" s="97" t="s">
        <v>4554</v>
      </c>
      <c r="AJ293" s="115">
        <v>235062</v>
      </c>
      <c r="AK293" s="97">
        <v>0</v>
      </c>
      <c r="AL293" s="97">
        <f t="shared" si="68"/>
        <v>563</v>
      </c>
      <c r="AM293" s="20">
        <f t="shared" si="67"/>
        <v>132339906</v>
      </c>
      <c r="AN293" s="97"/>
    </row>
    <row r="294" spans="15:44">
      <c r="Q294" s="97" t="s">
        <v>4607</v>
      </c>
      <c r="R294" s="93">
        <v>6550580</v>
      </c>
      <c r="T294" s="210" t="s">
        <v>5191</v>
      </c>
      <c r="U294" s="210">
        <v>-1439</v>
      </c>
      <c r="V294" s="111">
        <v>486.53068999999999</v>
      </c>
      <c r="W294" s="111">
        <f t="shared" si="65"/>
        <v>-700117.66290999996</v>
      </c>
      <c r="X294" s="36" t="s">
        <v>4411</v>
      </c>
      <c r="AH294" s="147">
        <v>28</v>
      </c>
      <c r="AI294" s="147" t="s">
        <v>4554</v>
      </c>
      <c r="AJ294" s="186">
        <v>235062</v>
      </c>
      <c r="AK294" s="147">
        <v>9</v>
      </c>
      <c r="AL294" s="97">
        <f t="shared" si="68"/>
        <v>563</v>
      </c>
      <c r="AM294" s="147">
        <f t="shared" si="67"/>
        <v>132339906</v>
      </c>
      <c r="AN294" s="147" t="s">
        <v>650</v>
      </c>
    </row>
    <row r="295" spans="15:44">
      <c r="Q295" s="97" t="s">
        <v>4609</v>
      </c>
      <c r="R295" s="93">
        <v>7054895</v>
      </c>
      <c r="T295" s="210" t="s">
        <v>5191</v>
      </c>
      <c r="U295" s="210">
        <v>411</v>
      </c>
      <c r="V295" s="111">
        <v>486.53068999999999</v>
      </c>
      <c r="W295" s="111">
        <f t="shared" si="65"/>
        <v>199964.11358999999</v>
      </c>
      <c r="X295" s="36" t="s">
        <v>744</v>
      </c>
      <c r="AH295" s="147">
        <v>29</v>
      </c>
      <c r="AI295" s="147" t="s">
        <v>4573</v>
      </c>
      <c r="AJ295" s="186">
        <v>450000</v>
      </c>
      <c r="AK295" s="147">
        <v>0</v>
      </c>
      <c r="AL295" s="97">
        <f t="shared" si="68"/>
        <v>554</v>
      </c>
      <c r="AM295" s="147">
        <f t="shared" si="67"/>
        <v>249300000</v>
      </c>
      <c r="AN295" s="147" t="s">
        <v>650</v>
      </c>
    </row>
    <row r="296" spans="15:44">
      <c r="Q296" s="97" t="s">
        <v>4626</v>
      </c>
      <c r="R296" s="93">
        <v>2145814</v>
      </c>
      <c r="T296" s="210" t="s">
        <v>5159</v>
      </c>
      <c r="U296" s="210">
        <v>-4290</v>
      </c>
      <c r="V296" s="111">
        <v>497.57670000000002</v>
      </c>
      <c r="W296" s="111">
        <f t="shared" si="65"/>
        <v>-2134604.0430000001</v>
      </c>
      <c r="X296" s="36" t="s">
        <v>452</v>
      </c>
      <c r="AH296" s="20">
        <v>30</v>
      </c>
      <c r="AI296" s="20" t="s">
        <v>4573</v>
      </c>
      <c r="AJ296" s="115">
        <v>450000</v>
      </c>
      <c r="AK296" s="20">
        <v>22</v>
      </c>
      <c r="AL296" s="97">
        <f>AK296+AL297</f>
        <v>554</v>
      </c>
      <c r="AM296" s="20">
        <f t="shared" si="67"/>
        <v>249300000</v>
      </c>
      <c r="AN296" s="20"/>
    </row>
    <row r="297" spans="15:44">
      <c r="Q297" s="97" t="s">
        <v>4637</v>
      </c>
      <c r="R297" s="93">
        <v>4369730</v>
      </c>
      <c r="T297" s="210" t="s">
        <v>5198</v>
      </c>
      <c r="U297" s="210">
        <v>-644</v>
      </c>
      <c r="V297" s="111">
        <v>494.76464499999997</v>
      </c>
      <c r="W297" s="111">
        <f t="shared" si="65"/>
        <v>-318628.43137999997</v>
      </c>
      <c r="X297" s="36" t="s">
        <v>452</v>
      </c>
      <c r="AH297" s="147">
        <v>31</v>
      </c>
      <c r="AI297" s="147" t="s">
        <v>4639</v>
      </c>
      <c r="AJ297" s="186">
        <v>300000</v>
      </c>
      <c r="AK297" s="147">
        <v>0</v>
      </c>
      <c r="AL297" s="147">
        <f t="shared" ref="AL297:AL312" si="69">AK297+AL298</f>
        <v>532</v>
      </c>
      <c r="AM297" s="147">
        <f t="shared" ref="AM297:AM306" si="70">AJ297*AL297</f>
        <v>159600000</v>
      </c>
      <c r="AN297" s="147"/>
    </row>
    <row r="298" spans="15:44" ht="30">
      <c r="Q298" s="97" t="s">
        <v>4639</v>
      </c>
      <c r="R298" s="93">
        <v>8739459</v>
      </c>
      <c r="T298" s="210" t="s">
        <v>5201</v>
      </c>
      <c r="U298" s="210">
        <v>-112</v>
      </c>
      <c r="V298" s="111">
        <v>485.78</v>
      </c>
      <c r="W298" s="111">
        <f t="shared" si="65"/>
        <v>-54407.360000000001</v>
      </c>
      <c r="X298" s="36" t="s">
        <v>452</v>
      </c>
      <c r="AH298" s="119">
        <v>32</v>
      </c>
      <c r="AI298" s="119" t="s">
        <v>4639</v>
      </c>
      <c r="AJ298" s="77">
        <v>288936</v>
      </c>
      <c r="AK298" s="119">
        <v>3</v>
      </c>
      <c r="AL298" s="119">
        <f t="shared" si="69"/>
        <v>532</v>
      </c>
      <c r="AM298" s="119">
        <f t="shared" si="70"/>
        <v>153713952</v>
      </c>
      <c r="AN298" s="202" t="s">
        <v>4650</v>
      </c>
    </row>
    <row r="299" spans="15:44">
      <c r="Q299" s="97" t="s">
        <v>4648</v>
      </c>
      <c r="R299" s="93">
        <v>6667654</v>
      </c>
      <c r="T299" s="210" t="s">
        <v>5201</v>
      </c>
      <c r="U299" s="210">
        <v>123</v>
      </c>
      <c r="V299" s="111">
        <v>485.78</v>
      </c>
      <c r="W299" s="111">
        <f t="shared" si="65"/>
        <v>59750.939999999995</v>
      </c>
      <c r="X299" s="36" t="s">
        <v>744</v>
      </c>
      <c r="AH299" s="119">
        <v>33</v>
      </c>
      <c r="AI299" s="119" t="s">
        <v>4648</v>
      </c>
      <c r="AJ299" s="77">
        <v>17962491</v>
      </c>
      <c r="AK299" s="119">
        <v>1</v>
      </c>
      <c r="AL299" s="119">
        <f t="shared" si="69"/>
        <v>529</v>
      </c>
      <c r="AM299" s="119">
        <f t="shared" si="70"/>
        <v>9502157739</v>
      </c>
      <c r="AN299" s="119" t="s">
        <v>4655</v>
      </c>
    </row>
    <row r="300" spans="15:44">
      <c r="Q300" s="97" t="s">
        <v>3668</v>
      </c>
      <c r="R300" s="93">
        <v>8981245</v>
      </c>
      <c r="T300" s="210" t="s">
        <v>5201</v>
      </c>
      <c r="U300" s="210">
        <v>-123</v>
      </c>
      <c r="V300" s="111">
        <v>485.78</v>
      </c>
      <c r="W300" s="111">
        <f t="shared" si="65"/>
        <v>-59750.939999999995</v>
      </c>
      <c r="X300" s="36" t="s">
        <v>4411</v>
      </c>
      <c r="AH300" s="119">
        <v>34</v>
      </c>
      <c r="AI300" s="119" t="s">
        <v>3668</v>
      </c>
      <c r="AJ300" s="77">
        <v>18363511</v>
      </c>
      <c r="AK300" s="119">
        <v>1</v>
      </c>
      <c r="AL300" s="119">
        <f t="shared" si="69"/>
        <v>528</v>
      </c>
      <c r="AM300" s="119">
        <f t="shared" si="70"/>
        <v>9695933808</v>
      </c>
      <c r="AN300" s="119" t="s">
        <v>4655</v>
      </c>
      <c r="AR300" t="s">
        <v>25</v>
      </c>
    </row>
    <row r="301" spans="15:44">
      <c r="P301" t="s">
        <v>25</v>
      </c>
      <c r="Q301" s="97" t="s">
        <v>4660</v>
      </c>
      <c r="R301" s="93">
        <v>9181756</v>
      </c>
      <c r="T301" s="210" t="s">
        <v>5245</v>
      </c>
      <c r="U301" s="210">
        <v>32367</v>
      </c>
      <c r="V301" s="111">
        <v>556.12900000000002</v>
      </c>
      <c r="W301" s="111">
        <f t="shared" si="65"/>
        <v>18000227.343000002</v>
      </c>
      <c r="X301" s="36" t="s">
        <v>452</v>
      </c>
      <c r="AH301" s="119">
        <v>35</v>
      </c>
      <c r="AI301" s="119" t="s">
        <v>4660</v>
      </c>
      <c r="AJ301" s="77">
        <v>23622417</v>
      </c>
      <c r="AK301" s="119">
        <v>5</v>
      </c>
      <c r="AL301" s="119">
        <f t="shared" si="69"/>
        <v>527</v>
      </c>
      <c r="AM301" s="119">
        <f t="shared" si="70"/>
        <v>12449013759</v>
      </c>
      <c r="AN301" s="119" t="s">
        <v>4662</v>
      </c>
    </row>
    <row r="302" spans="15:44">
      <c r="Q302" s="97" t="s">
        <v>4663</v>
      </c>
      <c r="R302" s="93">
        <v>11811208</v>
      </c>
      <c r="T302" s="210" t="s">
        <v>5261</v>
      </c>
      <c r="U302" s="210">
        <v>1254</v>
      </c>
      <c r="V302" s="111">
        <v>558.24400000000003</v>
      </c>
      <c r="W302" s="111">
        <f t="shared" si="65"/>
        <v>700037.97600000002</v>
      </c>
      <c r="X302" s="36" t="s">
        <v>4411</v>
      </c>
      <c r="Y302" t="s">
        <v>25</v>
      </c>
      <c r="AH302" s="119">
        <v>36</v>
      </c>
      <c r="AI302" s="119" t="s">
        <v>4675</v>
      </c>
      <c r="AJ302" s="77">
        <v>82496108</v>
      </c>
      <c r="AK302" s="119">
        <v>1</v>
      </c>
      <c r="AL302" s="119">
        <f t="shared" si="69"/>
        <v>522</v>
      </c>
      <c r="AM302" s="119">
        <f t="shared" si="70"/>
        <v>43062968376</v>
      </c>
      <c r="AN302" s="119" t="s">
        <v>4678</v>
      </c>
    </row>
    <row r="303" spans="15:44">
      <c r="Q303" s="97" t="s">
        <v>4677</v>
      </c>
      <c r="R303" s="93">
        <v>41248054</v>
      </c>
      <c r="T303" s="166" t="s">
        <v>5261</v>
      </c>
      <c r="U303" s="210">
        <v>-358</v>
      </c>
      <c r="V303" s="111">
        <v>558.24400000000003</v>
      </c>
      <c r="W303" s="111">
        <f t="shared" si="65"/>
        <v>-199851.35200000001</v>
      </c>
      <c r="X303" s="36" t="s">
        <v>744</v>
      </c>
      <c r="Y303" t="s">
        <v>25</v>
      </c>
      <c r="AH303" s="119">
        <v>37</v>
      </c>
      <c r="AI303" s="119" t="s">
        <v>4677</v>
      </c>
      <c r="AJ303" s="77">
        <v>74657561</v>
      </c>
      <c r="AK303" s="119">
        <v>16</v>
      </c>
      <c r="AL303" s="119">
        <f t="shared" si="69"/>
        <v>521</v>
      </c>
      <c r="AM303" s="119">
        <f t="shared" si="70"/>
        <v>38896589281</v>
      </c>
      <c r="AN303" s="119" t="s">
        <v>4683</v>
      </c>
    </row>
    <row r="304" spans="15:44">
      <c r="Q304" s="97" t="s">
        <v>4684</v>
      </c>
      <c r="R304" s="93">
        <v>37328780</v>
      </c>
      <c r="T304" s="187" t="s">
        <v>5270</v>
      </c>
      <c r="U304" s="187">
        <v>-3326</v>
      </c>
      <c r="V304" s="186">
        <v>601.39300000000003</v>
      </c>
      <c r="W304" s="186">
        <f t="shared" si="65"/>
        <v>-2000233.118</v>
      </c>
      <c r="X304" s="275" t="s">
        <v>5112</v>
      </c>
      <c r="AH304" s="97">
        <v>38</v>
      </c>
      <c r="AI304" s="97" t="s">
        <v>4751</v>
      </c>
      <c r="AJ304" s="115">
        <v>665000</v>
      </c>
      <c r="AK304" s="97">
        <v>0</v>
      </c>
      <c r="AL304" s="97">
        <f t="shared" si="69"/>
        <v>505</v>
      </c>
      <c r="AM304" s="20">
        <f t="shared" si="70"/>
        <v>335825000</v>
      </c>
      <c r="AN304" s="97"/>
    </row>
    <row r="305" spans="16:40">
      <c r="Q305" s="97" t="s">
        <v>4690</v>
      </c>
      <c r="R305" s="93">
        <v>50000000</v>
      </c>
      <c r="T305" s="187" t="s">
        <v>5273</v>
      </c>
      <c r="U305" s="187">
        <v>3326</v>
      </c>
      <c r="V305" s="186">
        <v>601.39300000000003</v>
      </c>
      <c r="W305" s="186">
        <f t="shared" si="65"/>
        <v>2000233.118</v>
      </c>
      <c r="X305" s="275" t="s">
        <v>5112</v>
      </c>
      <c r="AH305" s="147">
        <v>39</v>
      </c>
      <c r="AI305" s="147" t="s">
        <v>4751</v>
      </c>
      <c r="AJ305" s="186">
        <v>665000</v>
      </c>
      <c r="AK305" s="147">
        <v>4</v>
      </c>
      <c r="AL305" s="193">
        <f t="shared" si="69"/>
        <v>505</v>
      </c>
      <c r="AM305" s="193">
        <f t="shared" si="70"/>
        <v>335825000</v>
      </c>
      <c r="AN305" s="193"/>
    </row>
    <row r="306" spans="16:40">
      <c r="Q306" s="97" t="s">
        <v>4751</v>
      </c>
      <c r="R306" s="93">
        <v>68656</v>
      </c>
      <c r="T306" s="187" t="s">
        <v>5285</v>
      </c>
      <c r="U306" s="187">
        <v>63259</v>
      </c>
      <c r="V306" s="186">
        <v>632.31960000000004</v>
      </c>
      <c r="W306" s="186">
        <f t="shared" si="65"/>
        <v>39999905.576400004</v>
      </c>
      <c r="X306" s="275" t="s">
        <v>1071</v>
      </c>
      <c r="AH306" s="20">
        <v>40</v>
      </c>
      <c r="AI306" s="20" t="s">
        <v>4760</v>
      </c>
      <c r="AJ306" s="115">
        <v>2000000</v>
      </c>
      <c r="AK306" s="20">
        <v>1</v>
      </c>
      <c r="AL306" s="97">
        <f t="shared" si="69"/>
        <v>501</v>
      </c>
      <c r="AM306" s="20">
        <f t="shared" si="70"/>
        <v>1002000000</v>
      </c>
      <c r="AN306" s="97"/>
    </row>
    <row r="307" spans="16:40">
      <c r="Q307" s="97" t="s">
        <v>4760</v>
      </c>
      <c r="R307" s="93">
        <v>4000236</v>
      </c>
      <c r="T307" s="19" t="s">
        <v>5290</v>
      </c>
      <c r="U307" s="19">
        <v>-1278</v>
      </c>
      <c r="V307" s="115">
        <v>625.98</v>
      </c>
      <c r="W307" s="115">
        <f t="shared" si="65"/>
        <v>-800002.44000000006</v>
      </c>
      <c r="X307" s="276" t="s">
        <v>5291</v>
      </c>
      <c r="AH307" s="20">
        <v>41</v>
      </c>
      <c r="AI307" s="20" t="s">
        <v>4765</v>
      </c>
      <c r="AJ307" s="115">
        <v>-2060725</v>
      </c>
      <c r="AK307" s="20">
        <v>0</v>
      </c>
      <c r="AL307" s="97">
        <f t="shared" si="69"/>
        <v>500</v>
      </c>
      <c r="AM307" s="20">
        <f t="shared" ref="AM307:AM312" si="71">AJ307*AL307</f>
        <v>-1030362500</v>
      </c>
      <c r="AN307" s="97" t="s">
        <v>4766</v>
      </c>
    </row>
    <row r="308" spans="16:40">
      <c r="Q308" s="97" t="s">
        <v>4760</v>
      </c>
      <c r="R308" s="93">
        <v>2250000</v>
      </c>
      <c r="T308" s="19" t="s">
        <v>5296</v>
      </c>
      <c r="U308" s="19">
        <v>32049</v>
      </c>
      <c r="V308" s="115">
        <v>624.04600000000005</v>
      </c>
      <c r="W308" s="115">
        <f t="shared" si="65"/>
        <v>20000050.254000001</v>
      </c>
      <c r="X308" s="276" t="s">
        <v>5151</v>
      </c>
      <c r="AH308" s="147">
        <v>42</v>
      </c>
      <c r="AI308" s="147" t="s">
        <v>4765</v>
      </c>
      <c r="AJ308" s="186">
        <v>-433375</v>
      </c>
      <c r="AK308" s="147">
        <v>0</v>
      </c>
      <c r="AL308" s="147">
        <f t="shared" si="69"/>
        <v>500</v>
      </c>
      <c r="AM308" s="147">
        <f t="shared" si="71"/>
        <v>-216687500</v>
      </c>
      <c r="AN308" s="147" t="s">
        <v>4767</v>
      </c>
    </row>
    <row r="309" spans="16:40" ht="30">
      <c r="Q309" s="97" t="s">
        <v>4765</v>
      </c>
      <c r="R309" s="93">
        <v>-2512200</v>
      </c>
      <c r="S309" s="112"/>
      <c r="T309" s="19" t="s">
        <v>5306</v>
      </c>
      <c r="U309" s="19">
        <v>45094</v>
      </c>
      <c r="V309" s="115">
        <v>614.13559759999998</v>
      </c>
      <c r="W309" s="115">
        <f t="shared" si="65"/>
        <v>27693830.6381744</v>
      </c>
      <c r="X309" s="276" t="s">
        <v>5308</v>
      </c>
      <c r="AH309" s="20">
        <v>43</v>
      </c>
      <c r="AI309" s="20" t="s">
        <v>4765</v>
      </c>
      <c r="AJ309" s="115">
        <v>28000000</v>
      </c>
      <c r="AK309" s="20">
        <v>1</v>
      </c>
      <c r="AL309" s="97">
        <f t="shared" si="69"/>
        <v>500</v>
      </c>
      <c r="AM309" s="20">
        <f t="shared" si="71"/>
        <v>14000000000</v>
      </c>
      <c r="AN309" s="97" t="s">
        <v>3875</v>
      </c>
    </row>
    <row r="310" spans="16:40" ht="30">
      <c r="Q310" s="97" t="s">
        <v>4774</v>
      </c>
      <c r="R310" s="93">
        <v>300000</v>
      </c>
      <c r="T310" s="19" t="s">
        <v>5336</v>
      </c>
      <c r="U310" s="19">
        <v>-11804</v>
      </c>
      <c r="V310" s="115">
        <v>762.46640000000002</v>
      </c>
      <c r="W310" s="115">
        <f t="shared" si="65"/>
        <v>-9000153.3856000006</v>
      </c>
      <c r="X310" s="276" t="s">
        <v>5338</v>
      </c>
      <c r="AH310" s="20">
        <v>44</v>
      </c>
      <c r="AI310" s="20" t="s">
        <v>4774</v>
      </c>
      <c r="AJ310" s="115">
        <v>160000</v>
      </c>
      <c r="AK310" s="20">
        <v>0</v>
      </c>
      <c r="AL310" s="97">
        <f t="shared" si="69"/>
        <v>499</v>
      </c>
      <c r="AM310" s="20">
        <f t="shared" si="71"/>
        <v>79840000</v>
      </c>
      <c r="AN310" s="97"/>
    </row>
    <row r="311" spans="16:40">
      <c r="P311" t="s">
        <v>25</v>
      </c>
      <c r="Q311" s="97" t="s">
        <v>966</v>
      </c>
      <c r="R311" s="93">
        <v>1100000</v>
      </c>
      <c r="T311" s="19" t="s">
        <v>5381</v>
      </c>
      <c r="U311" s="19">
        <v>844</v>
      </c>
      <c r="V311" s="115">
        <v>830</v>
      </c>
      <c r="W311" s="115">
        <f t="shared" si="65"/>
        <v>700520</v>
      </c>
      <c r="X311" s="276" t="s">
        <v>4411</v>
      </c>
      <c r="AH311" s="147">
        <v>45</v>
      </c>
      <c r="AI311" s="147" t="s">
        <v>4774</v>
      </c>
      <c r="AJ311" s="186">
        <v>70000</v>
      </c>
      <c r="AK311" s="147">
        <v>9</v>
      </c>
      <c r="AL311" s="147">
        <f t="shared" si="69"/>
        <v>499</v>
      </c>
      <c r="AM311" s="147">
        <f t="shared" si="71"/>
        <v>34930000</v>
      </c>
      <c r="AN311" s="147"/>
    </row>
    <row r="312" spans="16:40">
      <c r="P312" t="s">
        <v>25</v>
      </c>
      <c r="Q312" s="97" t="s">
        <v>4781</v>
      </c>
      <c r="R312" s="93">
        <v>890000</v>
      </c>
      <c r="T312" s="19" t="s">
        <v>5385</v>
      </c>
      <c r="U312" s="19">
        <v>8662</v>
      </c>
      <c r="V312" s="115">
        <v>832.57011999999997</v>
      </c>
      <c r="W312" s="115">
        <f t="shared" si="65"/>
        <v>7211722.3794399993</v>
      </c>
      <c r="X312" s="276" t="s">
        <v>5146</v>
      </c>
      <c r="AH312" s="20">
        <v>46</v>
      </c>
      <c r="AI312" s="20" t="s">
        <v>4781</v>
      </c>
      <c r="AJ312" s="115">
        <v>850000</v>
      </c>
      <c r="AK312" s="20">
        <v>0</v>
      </c>
      <c r="AL312" s="97">
        <f t="shared" si="69"/>
        <v>490</v>
      </c>
      <c r="AM312" s="20">
        <f t="shared" si="71"/>
        <v>416500000</v>
      </c>
      <c r="AN312" s="97"/>
    </row>
    <row r="313" spans="16:40" ht="30">
      <c r="Q313" s="97" t="s">
        <v>4801</v>
      </c>
      <c r="R313" s="93">
        <v>1000000</v>
      </c>
      <c r="T313" s="19" t="s">
        <v>5386</v>
      </c>
      <c r="U313" s="19">
        <v>10253</v>
      </c>
      <c r="V313" s="115">
        <v>827.2568</v>
      </c>
      <c r="W313" s="115">
        <f t="shared" si="65"/>
        <v>8481863.9704</v>
      </c>
      <c r="X313" s="276" t="s">
        <v>5393</v>
      </c>
      <c r="AH313" s="193">
        <v>47</v>
      </c>
      <c r="AI313" s="193" t="s">
        <v>4781</v>
      </c>
      <c r="AJ313" s="194">
        <v>20000</v>
      </c>
      <c r="AK313" s="193">
        <v>4</v>
      </c>
      <c r="AL313" s="193">
        <f t="shared" ref="AL313:AL321" si="72">AK313+AL314</f>
        <v>490</v>
      </c>
      <c r="AM313" s="193">
        <f t="shared" ref="AM313:AM321" si="73">AJ313*AL313</f>
        <v>9800000</v>
      </c>
      <c r="AN313" s="193"/>
    </row>
    <row r="314" spans="16:40">
      <c r="Q314" s="97" t="s">
        <v>4802</v>
      </c>
      <c r="R314" s="93">
        <v>45436311</v>
      </c>
      <c r="T314" s="242" t="s">
        <v>5394</v>
      </c>
      <c r="U314" s="242">
        <v>-33077</v>
      </c>
      <c r="V314" s="243">
        <v>786.02973999999995</v>
      </c>
      <c r="W314" s="243">
        <f t="shared" si="65"/>
        <v>-25999505.70998</v>
      </c>
      <c r="X314" s="284" t="s">
        <v>5397</v>
      </c>
      <c r="AH314" s="193">
        <v>48</v>
      </c>
      <c r="AI314" s="193" t="s">
        <v>4794</v>
      </c>
      <c r="AJ314" s="194">
        <v>30000000</v>
      </c>
      <c r="AK314" s="193">
        <v>27</v>
      </c>
      <c r="AL314" s="193">
        <f t="shared" si="72"/>
        <v>486</v>
      </c>
      <c r="AM314" s="193">
        <f t="shared" si="73"/>
        <v>14580000000</v>
      </c>
      <c r="AN314" s="193" t="s">
        <v>4795</v>
      </c>
    </row>
    <row r="315" spans="16:40">
      <c r="Q315" s="97" t="s">
        <v>4802</v>
      </c>
      <c r="R315" s="93">
        <v>-3500000</v>
      </c>
      <c r="T315" s="19" t="s">
        <v>5394</v>
      </c>
      <c r="U315" s="19">
        <v>-33077</v>
      </c>
      <c r="V315" s="115">
        <v>786.02973999999995</v>
      </c>
      <c r="W315" s="115">
        <f t="shared" si="65"/>
        <v>-25999505.70998</v>
      </c>
      <c r="X315" s="276" t="s">
        <v>5398</v>
      </c>
      <c r="AH315" s="20">
        <v>49</v>
      </c>
      <c r="AI315" s="20" t="s">
        <v>4868</v>
      </c>
      <c r="AJ315" s="115">
        <v>1100000</v>
      </c>
      <c r="AK315" s="20">
        <v>1</v>
      </c>
      <c r="AL315" s="20">
        <f t="shared" si="72"/>
        <v>459</v>
      </c>
      <c r="AM315" s="20">
        <f t="shared" si="73"/>
        <v>504900000</v>
      </c>
      <c r="AN315" s="20"/>
    </row>
    <row r="316" spans="16:40">
      <c r="Q316" s="97" t="s">
        <v>4814</v>
      </c>
      <c r="R316" s="93">
        <v>2520000</v>
      </c>
      <c r="T316" s="19" t="s">
        <v>5394</v>
      </c>
      <c r="U316" s="19">
        <v>1983</v>
      </c>
      <c r="V316" s="115">
        <v>786.02973999999995</v>
      </c>
      <c r="W316" s="115">
        <f t="shared" si="65"/>
        <v>1558696.9744199999</v>
      </c>
      <c r="X316" s="276" t="s">
        <v>5146</v>
      </c>
      <c r="AH316" s="20">
        <v>50</v>
      </c>
      <c r="AI316" s="20" t="s">
        <v>4869</v>
      </c>
      <c r="AJ316" s="115">
        <v>450000</v>
      </c>
      <c r="AK316" s="20">
        <v>0</v>
      </c>
      <c r="AL316" s="20">
        <f t="shared" si="72"/>
        <v>458</v>
      </c>
      <c r="AM316" s="20">
        <f t="shared" si="73"/>
        <v>206100000</v>
      </c>
      <c r="AN316" s="20"/>
    </row>
    <row r="317" spans="16:40">
      <c r="Q317" s="97" t="s">
        <v>4849</v>
      </c>
      <c r="R317" s="93">
        <v>4900000</v>
      </c>
      <c r="T317" s="242" t="s">
        <v>5399</v>
      </c>
      <c r="U317" s="242">
        <v>-119753</v>
      </c>
      <c r="V317" s="243">
        <v>800.81560000000002</v>
      </c>
      <c r="W317" s="243">
        <f t="shared" si="65"/>
        <v>-95900070.546800002</v>
      </c>
      <c r="X317" s="284" t="s">
        <v>5397</v>
      </c>
      <c r="AH317" s="147">
        <v>51</v>
      </c>
      <c r="AI317" s="147" t="s">
        <v>4869</v>
      </c>
      <c r="AJ317" s="186">
        <v>550000</v>
      </c>
      <c r="AK317" s="147">
        <v>1</v>
      </c>
      <c r="AL317" s="147">
        <f t="shared" si="72"/>
        <v>458</v>
      </c>
      <c r="AM317" s="147">
        <f t="shared" si="73"/>
        <v>251900000</v>
      </c>
      <c r="AN317" s="147"/>
    </row>
    <row r="318" spans="16:40">
      <c r="Q318" s="97" t="s">
        <v>4868</v>
      </c>
      <c r="R318" s="93">
        <v>1150000</v>
      </c>
      <c r="T318" s="19" t="s">
        <v>5399</v>
      </c>
      <c r="U318" s="19">
        <v>-119753</v>
      </c>
      <c r="V318" s="115">
        <v>800.81560000000002</v>
      </c>
      <c r="W318" s="115">
        <f t="shared" si="65"/>
        <v>-95900070.546800002</v>
      </c>
      <c r="X318" s="276" t="s">
        <v>5398</v>
      </c>
      <c r="Y318" t="s">
        <v>25</v>
      </c>
      <c r="AH318" s="147">
        <v>52</v>
      </c>
      <c r="AI318" s="147" t="s">
        <v>4871</v>
      </c>
      <c r="AJ318" s="186">
        <v>1000000</v>
      </c>
      <c r="AK318" s="147">
        <v>8</v>
      </c>
      <c r="AL318" s="147">
        <f t="shared" si="72"/>
        <v>457</v>
      </c>
      <c r="AM318" s="147">
        <f t="shared" si="73"/>
        <v>457000000</v>
      </c>
      <c r="AN318" s="147"/>
    </row>
    <row r="319" spans="16:40">
      <c r="Q319" s="97" t="s">
        <v>4821</v>
      </c>
      <c r="R319" s="93">
        <v>250000</v>
      </c>
      <c r="T319" s="19" t="s">
        <v>5399</v>
      </c>
      <c r="U319" s="19">
        <v>11291</v>
      </c>
      <c r="V319" s="115">
        <v>800.81560000000002</v>
      </c>
      <c r="W319" s="115">
        <f t="shared" si="65"/>
        <v>9042008.9396000002</v>
      </c>
      <c r="X319" s="276" t="s">
        <v>452</v>
      </c>
      <c r="AH319" s="20">
        <v>53</v>
      </c>
      <c r="AI319" s="20" t="s">
        <v>4880</v>
      </c>
      <c r="AJ319" s="115">
        <v>-2668880</v>
      </c>
      <c r="AK319" s="20">
        <v>0</v>
      </c>
      <c r="AL319" s="20">
        <f t="shared" si="72"/>
        <v>449</v>
      </c>
      <c r="AM319" s="20">
        <f t="shared" si="73"/>
        <v>-1198327120</v>
      </c>
      <c r="AN319" s="20" t="s">
        <v>4882</v>
      </c>
    </row>
    <row r="320" spans="16:40">
      <c r="Q320" s="97" t="s">
        <v>4905</v>
      </c>
      <c r="R320" s="93">
        <v>1403460</v>
      </c>
      <c r="T320" s="187" t="s">
        <v>5400</v>
      </c>
      <c r="U320" s="187">
        <v>-35361</v>
      </c>
      <c r="V320" s="186">
        <v>818.697</v>
      </c>
      <c r="W320" s="186">
        <f t="shared" si="65"/>
        <v>-28949944.616999999</v>
      </c>
      <c r="X320" s="275" t="s">
        <v>5397</v>
      </c>
      <c r="AH320" s="147">
        <v>54</v>
      </c>
      <c r="AI320" s="147" t="s">
        <v>4880</v>
      </c>
      <c r="AJ320" s="186">
        <v>-1528620</v>
      </c>
      <c r="AK320" s="147">
        <v>0</v>
      </c>
      <c r="AL320" s="147">
        <f t="shared" si="72"/>
        <v>449</v>
      </c>
      <c r="AM320" s="147">
        <f t="shared" si="73"/>
        <v>-686350380</v>
      </c>
      <c r="AN320" s="147" t="s">
        <v>4882</v>
      </c>
    </row>
    <row r="321" spans="17:44">
      <c r="Q321" s="97" t="s">
        <v>4908</v>
      </c>
      <c r="R321" s="93">
        <v>200000</v>
      </c>
      <c r="T321" s="19" t="s">
        <v>5400</v>
      </c>
      <c r="U321" s="19">
        <v>-35361</v>
      </c>
      <c r="V321" s="115">
        <v>818.697</v>
      </c>
      <c r="W321" s="115">
        <f t="shared" si="65"/>
        <v>-28949944.616999999</v>
      </c>
      <c r="X321" s="276" t="s">
        <v>5398</v>
      </c>
      <c r="AH321" s="20">
        <v>55</v>
      </c>
      <c r="AI321" s="20" t="s">
        <v>4880</v>
      </c>
      <c r="AJ321" s="115">
        <v>50000000</v>
      </c>
      <c r="AK321" s="20">
        <v>4</v>
      </c>
      <c r="AL321" s="20">
        <f t="shared" si="72"/>
        <v>449</v>
      </c>
      <c r="AM321" s="20">
        <f t="shared" si="73"/>
        <v>22450000000</v>
      </c>
      <c r="AN321" s="20"/>
    </row>
    <row r="322" spans="17:44">
      <c r="Q322" s="97" t="s">
        <v>4913</v>
      </c>
      <c r="R322" s="93">
        <v>345000</v>
      </c>
      <c r="T322" s="19" t="s">
        <v>5400</v>
      </c>
      <c r="U322" s="19">
        <v>116</v>
      </c>
      <c r="V322" s="115">
        <v>818.697</v>
      </c>
      <c r="W322" s="115">
        <f t="shared" si="65"/>
        <v>94968.851999999999</v>
      </c>
      <c r="X322" s="276" t="s">
        <v>5146</v>
      </c>
      <c r="AH322" s="20">
        <v>56</v>
      </c>
      <c r="AI322" s="20" t="s">
        <v>4886</v>
      </c>
      <c r="AJ322" s="115">
        <v>400000</v>
      </c>
      <c r="AK322" s="20">
        <v>4</v>
      </c>
      <c r="AL322" s="20">
        <f t="shared" ref="AL322:AL331" si="74">AK322+AL323</f>
        <v>445</v>
      </c>
      <c r="AM322" s="20">
        <f t="shared" ref="AM322:AM331" si="75">AJ322*AL322</f>
        <v>178000000</v>
      </c>
      <c r="AN322" s="20"/>
    </row>
    <row r="323" spans="17:44">
      <c r="Q323" s="97" t="s">
        <v>4918</v>
      </c>
      <c r="R323" s="93">
        <v>900000</v>
      </c>
      <c r="T323" s="19" t="s">
        <v>5405</v>
      </c>
      <c r="U323" s="19">
        <v>48633</v>
      </c>
      <c r="V323" s="115">
        <v>822.47199999999998</v>
      </c>
      <c r="W323" s="115">
        <f t="shared" si="65"/>
        <v>39999280.776000001</v>
      </c>
      <c r="X323" s="276" t="s">
        <v>5409</v>
      </c>
      <c r="AH323" s="20">
        <v>57</v>
      </c>
      <c r="AI323" s="20" t="s">
        <v>4897</v>
      </c>
      <c r="AJ323" s="115">
        <v>2000000</v>
      </c>
      <c r="AK323" s="20">
        <v>3</v>
      </c>
      <c r="AL323" s="20">
        <f t="shared" si="74"/>
        <v>441</v>
      </c>
      <c r="AM323" s="20">
        <f t="shared" si="75"/>
        <v>882000000</v>
      </c>
      <c r="AN323" s="20"/>
    </row>
    <row r="324" spans="17:44">
      <c r="Q324" s="97" t="s">
        <v>4921</v>
      </c>
      <c r="R324" s="93">
        <v>372517</v>
      </c>
      <c r="T324" s="19" t="s">
        <v>5405</v>
      </c>
      <c r="U324" s="19">
        <v>3412</v>
      </c>
      <c r="V324" s="115">
        <v>822.47199999999998</v>
      </c>
      <c r="W324" s="115">
        <f t="shared" si="65"/>
        <v>2806274.4640000002</v>
      </c>
      <c r="X324" s="276" t="s">
        <v>5411</v>
      </c>
      <c r="Y324" t="s">
        <v>25</v>
      </c>
      <c r="AH324" s="20">
        <v>58</v>
      </c>
      <c r="AI324" s="20" t="s">
        <v>4900</v>
      </c>
      <c r="AJ324" s="115">
        <v>100000</v>
      </c>
      <c r="AK324" s="20">
        <v>4</v>
      </c>
      <c r="AL324" s="20">
        <f t="shared" si="74"/>
        <v>438</v>
      </c>
      <c r="AM324" s="20">
        <f t="shared" si="75"/>
        <v>43800000</v>
      </c>
      <c r="AN324" s="20" t="s">
        <v>3875</v>
      </c>
    </row>
    <row r="325" spans="17:44">
      <c r="Q325" s="97" t="s">
        <v>4929</v>
      </c>
      <c r="R325" s="93">
        <v>6489257</v>
      </c>
      <c r="T325" s="19" t="s">
        <v>5406</v>
      </c>
      <c r="U325" s="19">
        <v>1531</v>
      </c>
      <c r="V325" s="115">
        <v>869.82500000000005</v>
      </c>
      <c r="W325" s="115">
        <f t="shared" si="65"/>
        <v>1331702.075</v>
      </c>
      <c r="X325" s="276" t="s">
        <v>5412</v>
      </c>
      <c r="AH325" s="20">
        <v>59</v>
      </c>
      <c r="AI325" s="20" t="s">
        <v>4908</v>
      </c>
      <c r="AJ325" s="115">
        <v>100000</v>
      </c>
      <c r="AK325" s="20">
        <v>7</v>
      </c>
      <c r="AL325" s="20">
        <f t="shared" si="74"/>
        <v>434</v>
      </c>
      <c r="AM325" s="20">
        <f t="shared" si="75"/>
        <v>43400000</v>
      </c>
      <c r="AN325" s="20"/>
    </row>
    <row r="326" spans="17:44">
      <c r="Q326" s="97" t="s">
        <v>4965</v>
      </c>
      <c r="R326" s="93">
        <v>618000</v>
      </c>
      <c r="T326" s="170" t="s">
        <v>5415</v>
      </c>
      <c r="U326" s="170">
        <v>2394</v>
      </c>
      <c r="V326" s="168">
        <v>835.36580000000004</v>
      </c>
      <c r="W326" s="168">
        <f t="shared" si="65"/>
        <v>1999865.7252</v>
      </c>
      <c r="X326" s="285" t="s">
        <v>5417</v>
      </c>
      <c r="AH326" s="20">
        <v>60</v>
      </c>
      <c r="AI326" s="20" t="s">
        <v>4921</v>
      </c>
      <c r="AJ326" s="115">
        <v>50000</v>
      </c>
      <c r="AK326" s="20">
        <v>0</v>
      </c>
      <c r="AL326" s="20">
        <f t="shared" si="74"/>
        <v>427</v>
      </c>
      <c r="AM326" s="20">
        <f t="shared" si="75"/>
        <v>21350000</v>
      </c>
      <c r="AN326" s="20"/>
    </row>
    <row r="327" spans="17:44">
      <c r="Q327" s="97" t="s">
        <v>4976</v>
      </c>
      <c r="R327" s="93">
        <v>20105000</v>
      </c>
      <c r="T327" s="19" t="s">
        <v>5415</v>
      </c>
      <c r="U327" s="19">
        <v>1019</v>
      </c>
      <c r="V327" s="115">
        <v>835.36580000000004</v>
      </c>
      <c r="W327" s="115">
        <f t="shared" si="65"/>
        <v>851237.75020000001</v>
      </c>
      <c r="X327" s="276" t="s">
        <v>452</v>
      </c>
      <c r="AH327" s="147">
        <v>61</v>
      </c>
      <c r="AI327" s="147" t="s">
        <v>4921</v>
      </c>
      <c r="AJ327" s="186">
        <v>50000</v>
      </c>
      <c r="AK327" s="147">
        <v>3</v>
      </c>
      <c r="AL327" s="147">
        <f t="shared" si="74"/>
        <v>427</v>
      </c>
      <c r="AM327" s="147">
        <f t="shared" si="75"/>
        <v>21350000</v>
      </c>
      <c r="AN327" s="147"/>
    </row>
    <row r="328" spans="17:44">
      <c r="Q328" s="97" t="s">
        <v>4980</v>
      </c>
      <c r="R328" s="93">
        <v>-21079990</v>
      </c>
      <c r="T328" s="187" t="s">
        <v>5421</v>
      </c>
      <c r="U328" s="187">
        <v>2316</v>
      </c>
      <c r="V328" s="186">
        <v>818.697</v>
      </c>
      <c r="W328" s="186">
        <f t="shared" si="65"/>
        <v>1896102.2520000001</v>
      </c>
      <c r="X328" s="275" t="s">
        <v>5424</v>
      </c>
      <c r="AH328" s="20">
        <v>62</v>
      </c>
      <c r="AI328" s="20" t="s">
        <v>4924</v>
      </c>
      <c r="AJ328" s="115">
        <v>50000</v>
      </c>
      <c r="AK328" s="20">
        <v>0</v>
      </c>
      <c r="AL328" s="20">
        <f t="shared" si="74"/>
        <v>424</v>
      </c>
      <c r="AM328" s="20">
        <f t="shared" si="75"/>
        <v>21200000</v>
      </c>
      <c r="AN328" s="20"/>
    </row>
    <row r="329" spans="17:44">
      <c r="Q329" s="97" t="s">
        <v>4981</v>
      </c>
      <c r="R329" s="93">
        <v>-5949277</v>
      </c>
      <c r="T329" s="19" t="s">
        <v>5427</v>
      </c>
      <c r="U329" s="19">
        <v>315</v>
      </c>
      <c r="V329" s="115">
        <v>680</v>
      </c>
      <c r="W329" s="115">
        <f t="shared" si="65"/>
        <v>214200</v>
      </c>
      <c r="X329" s="276" t="s">
        <v>5146</v>
      </c>
      <c r="AH329" s="193">
        <v>63</v>
      </c>
      <c r="AI329" s="193" t="s">
        <v>4924</v>
      </c>
      <c r="AJ329" s="194">
        <v>50000</v>
      </c>
      <c r="AK329" s="193">
        <v>2</v>
      </c>
      <c r="AL329" s="193">
        <f t="shared" si="74"/>
        <v>424</v>
      </c>
      <c r="AM329" s="193">
        <f t="shared" si="75"/>
        <v>21200000</v>
      </c>
      <c r="AN329" s="193"/>
    </row>
    <row r="330" spans="17:44">
      <c r="Q330" s="97" t="s">
        <v>4987</v>
      </c>
      <c r="R330" s="93">
        <v>-15370656</v>
      </c>
      <c r="T330" s="19" t="s">
        <v>5453</v>
      </c>
      <c r="U330" s="19">
        <v>832</v>
      </c>
      <c r="V330" s="115">
        <v>784.36500000000001</v>
      </c>
      <c r="W330" s="115">
        <f t="shared" si="65"/>
        <v>652591.68000000005</v>
      </c>
      <c r="X330" s="276" t="s">
        <v>5146</v>
      </c>
      <c r="AH330" s="20">
        <v>64</v>
      </c>
      <c r="AI330" s="20" t="s">
        <v>4931</v>
      </c>
      <c r="AJ330" s="115">
        <v>25000</v>
      </c>
      <c r="AK330" s="20">
        <v>0</v>
      </c>
      <c r="AL330" s="20">
        <f t="shared" si="74"/>
        <v>422</v>
      </c>
      <c r="AM330" s="20">
        <f t="shared" si="75"/>
        <v>10550000</v>
      </c>
      <c r="AN330" s="20"/>
    </row>
    <row r="331" spans="17:44">
      <c r="Q331" s="97" t="s">
        <v>4993</v>
      </c>
      <c r="R331" s="93">
        <v>4960000</v>
      </c>
      <c r="T331" s="19" t="s">
        <v>5520</v>
      </c>
      <c r="U331" s="19">
        <v>382</v>
      </c>
      <c r="V331" s="115">
        <v>1450.6065000000001</v>
      </c>
      <c r="W331" s="115">
        <f t="shared" si="65"/>
        <v>554131.68300000008</v>
      </c>
      <c r="X331" s="276" t="s">
        <v>5146</v>
      </c>
      <c r="AH331" s="147">
        <v>65</v>
      </c>
      <c r="AI331" s="147" t="s">
        <v>4931</v>
      </c>
      <c r="AJ331" s="186">
        <v>35000</v>
      </c>
      <c r="AK331" s="147">
        <v>7</v>
      </c>
      <c r="AL331" s="147">
        <f t="shared" si="74"/>
        <v>422</v>
      </c>
      <c r="AM331" s="147">
        <f t="shared" si="75"/>
        <v>14770000</v>
      </c>
      <c r="AN331" s="147"/>
    </row>
    <row r="332" spans="17:44">
      <c r="Q332" s="97" t="s">
        <v>4993</v>
      </c>
      <c r="R332" s="93">
        <v>10000000</v>
      </c>
      <c r="T332" s="19" t="s">
        <v>5521</v>
      </c>
      <c r="U332" s="19">
        <v>50047</v>
      </c>
      <c r="V332" s="115">
        <v>1406.14</v>
      </c>
      <c r="W332" s="115">
        <f t="shared" si="65"/>
        <v>70373088.579999998</v>
      </c>
      <c r="X332" s="276" t="s">
        <v>5146</v>
      </c>
      <c r="Z332" t="s">
        <v>25</v>
      </c>
      <c r="AH332" s="147">
        <v>66</v>
      </c>
      <c r="AI332" s="147" t="s">
        <v>4939</v>
      </c>
      <c r="AJ332" s="186">
        <v>30000000</v>
      </c>
      <c r="AK332" s="147">
        <v>0</v>
      </c>
      <c r="AL332" s="147">
        <f t="shared" ref="AL332:AL351" si="76">AK332+AL333</f>
        <v>415</v>
      </c>
      <c r="AM332" s="147">
        <f t="shared" ref="AM332:AM351" si="77">AJ332*AL332</f>
        <v>12450000000</v>
      </c>
      <c r="AN332" s="147"/>
      <c r="AR332" t="s">
        <v>25</v>
      </c>
    </row>
    <row r="333" spans="17:44">
      <c r="Q333" s="97" t="s">
        <v>5000</v>
      </c>
      <c r="R333" s="93">
        <v>-40570100</v>
      </c>
      <c r="T333" s="19" t="s">
        <v>5522</v>
      </c>
      <c r="U333" s="19">
        <v>846</v>
      </c>
      <c r="V333" s="115">
        <v>1441.6724569999999</v>
      </c>
      <c r="W333" s="115">
        <f t="shared" si="65"/>
        <v>1219654.8986219999</v>
      </c>
      <c r="X333" s="276" t="s">
        <v>5146</v>
      </c>
      <c r="AH333" s="20">
        <v>67</v>
      </c>
      <c r="AI333" s="20" t="s">
        <v>4939</v>
      </c>
      <c r="AJ333" s="115">
        <v>6800000</v>
      </c>
      <c r="AK333" s="20">
        <v>1</v>
      </c>
      <c r="AL333" s="20">
        <f t="shared" si="76"/>
        <v>415</v>
      </c>
      <c r="AM333" s="20">
        <f t="shared" si="77"/>
        <v>2822000000</v>
      </c>
      <c r="AN333" s="20"/>
    </row>
    <row r="334" spans="17:44">
      <c r="Q334" s="97" t="s">
        <v>5009</v>
      </c>
      <c r="R334" s="93">
        <v>1000000</v>
      </c>
      <c r="T334" s="19" t="s">
        <v>5523</v>
      </c>
      <c r="U334" s="19">
        <v>10573</v>
      </c>
      <c r="V334" s="115">
        <v>1451.825</v>
      </c>
      <c r="W334" s="115">
        <f t="shared" si="65"/>
        <v>15350145.725</v>
      </c>
      <c r="X334" s="276" t="s">
        <v>5146</v>
      </c>
      <c r="AH334" s="20">
        <v>68</v>
      </c>
      <c r="AI334" s="20" t="s">
        <v>4942</v>
      </c>
      <c r="AJ334" s="115">
        <v>500000</v>
      </c>
      <c r="AK334" s="20">
        <v>1</v>
      </c>
      <c r="AL334" s="20">
        <f t="shared" si="76"/>
        <v>414</v>
      </c>
      <c r="AM334" s="20">
        <f t="shared" si="77"/>
        <v>207000000</v>
      </c>
      <c r="AN334" s="20"/>
    </row>
    <row r="335" spans="17:44" ht="30">
      <c r="Q335" s="97" t="s">
        <v>5010</v>
      </c>
      <c r="R335" s="93">
        <v>400000</v>
      </c>
      <c r="T335" s="19" t="s">
        <v>5525</v>
      </c>
      <c r="U335" s="19">
        <v>85</v>
      </c>
      <c r="V335" s="115">
        <v>1423.74</v>
      </c>
      <c r="W335" s="115">
        <f t="shared" si="65"/>
        <v>121017.9</v>
      </c>
      <c r="X335" s="276" t="s">
        <v>5526</v>
      </c>
      <c r="AH335" s="20">
        <v>69</v>
      </c>
      <c r="AI335" s="20" t="s">
        <v>4948</v>
      </c>
      <c r="AJ335" s="115">
        <v>850000</v>
      </c>
      <c r="AK335" s="20">
        <v>5</v>
      </c>
      <c r="AL335" s="20">
        <f t="shared" si="76"/>
        <v>413</v>
      </c>
      <c r="AM335" s="20">
        <f t="shared" si="77"/>
        <v>351050000</v>
      </c>
      <c r="AN335" s="20"/>
    </row>
    <row r="336" spans="17:44" ht="30">
      <c r="Q336" s="97" t="s">
        <v>5017</v>
      </c>
      <c r="R336" s="93">
        <v>120000</v>
      </c>
      <c r="S336" s="112"/>
      <c r="T336" s="19" t="s">
        <v>5529</v>
      </c>
      <c r="U336" s="19">
        <v>738</v>
      </c>
      <c r="V336" s="115">
        <v>1388.87895</v>
      </c>
      <c r="W336" s="115">
        <f t="shared" si="65"/>
        <v>1024992.6651</v>
      </c>
      <c r="X336" s="276" t="s">
        <v>5537</v>
      </c>
      <c r="Y336" t="s">
        <v>25</v>
      </c>
      <c r="AA336" t="s">
        <v>25</v>
      </c>
      <c r="AH336" s="20">
        <v>70</v>
      </c>
      <c r="AI336" s="20" t="s">
        <v>4957</v>
      </c>
      <c r="AJ336" s="115">
        <v>1130250</v>
      </c>
      <c r="AK336" s="20">
        <v>0</v>
      </c>
      <c r="AL336" s="20">
        <f t="shared" si="76"/>
        <v>408</v>
      </c>
      <c r="AM336" s="20">
        <f t="shared" si="77"/>
        <v>461142000</v>
      </c>
      <c r="AN336" s="20"/>
      <c r="AR336" t="s">
        <v>25</v>
      </c>
    </row>
    <row r="337" spans="17:46">
      <c r="Q337" s="97" t="s">
        <v>5032</v>
      </c>
      <c r="R337" s="93">
        <v>500000</v>
      </c>
      <c r="T337" s="19" t="s">
        <v>5545</v>
      </c>
      <c r="U337" s="19">
        <v>1442</v>
      </c>
      <c r="V337" s="115">
        <v>1350.9547279999999</v>
      </c>
      <c r="W337" s="115">
        <f t="shared" si="65"/>
        <v>1948076.7177759998</v>
      </c>
      <c r="X337" s="276" t="s">
        <v>5146</v>
      </c>
      <c r="AH337" s="252">
        <v>71</v>
      </c>
      <c r="AI337" s="252" t="s">
        <v>4957</v>
      </c>
      <c r="AJ337" s="243">
        <v>30000</v>
      </c>
      <c r="AK337" s="252">
        <v>5</v>
      </c>
      <c r="AL337" s="252">
        <f t="shared" si="76"/>
        <v>408</v>
      </c>
      <c r="AM337" s="252">
        <f t="shared" si="77"/>
        <v>12240000</v>
      </c>
      <c r="AN337" s="252"/>
      <c r="AS337" t="s">
        <v>25</v>
      </c>
    </row>
    <row r="338" spans="17:46">
      <c r="Q338" s="97" t="s">
        <v>5022</v>
      </c>
      <c r="R338" s="93">
        <v>744000</v>
      </c>
      <c r="T338" s="19" t="s">
        <v>5546</v>
      </c>
      <c r="U338" s="19">
        <v>36847</v>
      </c>
      <c r="V338" s="115">
        <v>1356.9658300000001</v>
      </c>
      <c r="W338" s="115">
        <f t="shared" si="65"/>
        <v>50000119.938010007</v>
      </c>
      <c r="X338" s="276" t="s">
        <v>5151</v>
      </c>
      <c r="Y338" t="s">
        <v>25</v>
      </c>
      <c r="AH338" s="20">
        <v>72</v>
      </c>
      <c r="AI338" s="20" t="s">
        <v>4965</v>
      </c>
      <c r="AJ338" s="115">
        <v>206000</v>
      </c>
      <c r="AK338" s="20">
        <v>0</v>
      </c>
      <c r="AL338" s="20">
        <f t="shared" si="76"/>
        <v>403</v>
      </c>
      <c r="AM338" s="20">
        <f t="shared" si="77"/>
        <v>83018000</v>
      </c>
      <c r="AN338" s="20"/>
      <c r="AR338" t="s">
        <v>25</v>
      </c>
      <c r="AT338" s="94" t="s">
        <v>25</v>
      </c>
    </row>
    <row r="339" spans="17:46" ht="30">
      <c r="Q339" s="97" t="s">
        <v>5048</v>
      </c>
      <c r="R339" s="93">
        <v>65000</v>
      </c>
      <c r="T339" s="19" t="s">
        <v>5547</v>
      </c>
      <c r="U339" s="19">
        <v>13738</v>
      </c>
      <c r="V339" s="115">
        <v>1455.82</v>
      </c>
      <c r="W339" s="115">
        <f t="shared" si="65"/>
        <v>20000055.16</v>
      </c>
      <c r="X339" s="276" t="s">
        <v>5571</v>
      </c>
      <c r="Z339" t="s">
        <v>25</v>
      </c>
      <c r="AH339" s="147">
        <v>73</v>
      </c>
      <c r="AI339" s="147" t="s">
        <v>4965</v>
      </c>
      <c r="AJ339" s="186">
        <v>206000</v>
      </c>
      <c r="AK339" s="147">
        <v>2</v>
      </c>
      <c r="AL339" s="147">
        <f t="shared" si="76"/>
        <v>403</v>
      </c>
      <c r="AM339" s="147">
        <f t="shared" si="77"/>
        <v>83018000</v>
      </c>
      <c r="AN339" s="147"/>
      <c r="AS339" t="s">
        <v>25</v>
      </c>
    </row>
    <row r="340" spans="17:46">
      <c r="Q340" s="97" t="s">
        <v>5054</v>
      </c>
      <c r="R340" s="93">
        <v>-14053702</v>
      </c>
      <c r="T340" s="19" t="s">
        <v>5581</v>
      </c>
      <c r="U340" s="19">
        <v>3100</v>
      </c>
      <c r="V340" s="115">
        <v>1853.4507470000001</v>
      </c>
      <c r="W340" s="115">
        <f t="shared" si="65"/>
        <v>5745697.3157000002</v>
      </c>
      <c r="X340" s="276" t="s">
        <v>5146</v>
      </c>
      <c r="AH340" s="20">
        <v>74</v>
      </c>
      <c r="AI340" s="20" t="s">
        <v>4972</v>
      </c>
      <c r="AJ340" s="115">
        <v>50000</v>
      </c>
      <c r="AK340" s="20">
        <v>0</v>
      </c>
      <c r="AL340" s="20">
        <f t="shared" si="76"/>
        <v>401</v>
      </c>
      <c r="AM340" s="20">
        <f t="shared" si="77"/>
        <v>20050000</v>
      </c>
      <c r="AN340" s="20"/>
    </row>
    <row r="341" spans="17:46">
      <c r="Q341" s="97" t="s">
        <v>5023</v>
      </c>
      <c r="R341" s="93">
        <v>3555678</v>
      </c>
      <c r="T341" s="19" t="s">
        <v>5582</v>
      </c>
      <c r="U341" s="19">
        <v>480</v>
      </c>
      <c r="V341" s="115">
        <v>1891.9962069999999</v>
      </c>
      <c r="W341" s="115">
        <f t="shared" si="65"/>
        <v>908158.17935999995</v>
      </c>
      <c r="X341" s="276" t="s">
        <v>5146</v>
      </c>
      <c r="AH341" s="252">
        <v>75</v>
      </c>
      <c r="AI341" s="252" t="s">
        <v>4972</v>
      </c>
      <c r="AJ341" s="243">
        <v>50000</v>
      </c>
      <c r="AK341" s="252">
        <v>2</v>
      </c>
      <c r="AL341" s="252">
        <f t="shared" si="76"/>
        <v>401</v>
      </c>
      <c r="AM341" s="252">
        <f t="shared" si="77"/>
        <v>20050000</v>
      </c>
      <c r="AN341" s="252"/>
    </row>
    <row r="342" spans="17:46">
      <c r="Q342" s="97" t="s">
        <v>5090</v>
      </c>
      <c r="R342" s="93">
        <v>3495</v>
      </c>
      <c r="T342" s="19" t="s">
        <v>5583</v>
      </c>
      <c r="U342" s="19">
        <v>6522</v>
      </c>
      <c r="V342" s="115">
        <v>1938.4694340000001</v>
      </c>
      <c r="W342" s="115">
        <f t="shared" si="65"/>
        <v>12642697.648548001</v>
      </c>
      <c r="X342" s="276" t="s">
        <v>5146</v>
      </c>
      <c r="Y342" t="s">
        <v>25</v>
      </c>
      <c r="AA342" t="s">
        <v>25</v>
      </c>
      <c r="AH342" s="20">
        <v>76</v>
      </c>
      <c r="AI342" s="20" t="s">
        <v>4976</v>
      </c>
      <c r="AJ342" s="115">
        <v>20000000</v>
      </c>
      <c r="AK342" s="20">
        <v>7</v>
      </c>
      <c r="AL342" s="20">
        <f t="shared" si="76"/>
        <v>399</v>
      </c>
      <c r="AM342" s="20">
        <f t="shared" si="77"/>
        <v>7980000000</v>
      </c>
      <c r="AN342" s="20" t="s">
        <v>4977</v>
      </c>
    </row>
    <row r="343" spans="17:46">
      <c r="Q343" s="97" t="s">
        <v>5096</v>
      </c>
      <c r="R343" s="93">
        <v>6000000</v>
      </c>
      <c r="T343" s="19" t="s">
        <v>5584</v>
      </c>
      <c r="U343" s="19">
        <v>6197</v>
      </c>
      <c r="V343" s="115">
        <v>1984.3985499999999</v>
      </c>
      <c r="W343" s="115">
        <f t="shared" si="65"/>
        <v>12297317.81435</v>
      </c>
      <c r="X343" s="276" t="s">
        <v>5146</v>
      </c>
      <c r="AH343" s="20">
        <v>77</v>
      </c>
      <c r="AI343" s="20" t="s">
        <v>4987</v>
      </c>
      <c r="AJ343" s="115">
        <v>50000</v>
      </c>
      <c r="AK343" s="20">
        <v>0</v>
      </c>
      <c r="AL343" s="20">
        <f t="shared" si="76"/>
        <v>392</v>
      </c>
      <c r="AM343" s="20">
        <f t="shared" si="77"/>
        <v>19600000</v>
      </c>
      <c r="AN343" s="20"/>
    </row>
    <row r="344" spans="17:46">
      <c r="Q344" s="97" t="s">
        <v>5099</v>
      </c>
      <c r="R344" s="93">
        <v>17220</v>
      </c>
      <c r="T344" s="19" t="s">
        <v>5585</v>
      </c>
      <c r="U344" s="19">
        <v>4646</v>
      </c>
      <c r="V344" s="115">
        <v>1928.464023</v>
      </c>
      <c r="W344" s="115">
        <f t="shared" si="65"/>
        <v>8959643.8508579992</v>
      </c>
      <c r="X344" s="276" t="s">
        <v>5146</v>
      </c>
      <c r="AH344" s="147">
        <v>78</v>
      </c>
      <c r="AI344" s="147" t="s">
        <v>4987</v>
      </c>
      <c r="AJ344" s="186">
        <v>50000</v>
      </c>
      <c r="AK344" s="147">
        <v>7</v>
      </c>
      <c r="AL344" s="147">
        <f t="shared" si="76"/>
        <v>392</v>
      </c>
      <c r="AM344" s="147">
        <f t="shared" si="77"/>
        <v>19600000</v>
      </c>
      <c r="AN344" s="147"/>
    </row>
    <row r="345" spans="17:46">
      <c r="Q345" s="97" t="s">
        <v>5100</v>
      </c>
      <c r="R345" s="93">
        <v>8249</v>
      </c>
      <c r="S345" t="s">
        <v>25</v>
      </c>
      <c r="T345" s="19" t="s">
        <v>5586</v>
      </c>
      <c r="U345" s="19">
        <v>7668</v>
      </c>
      <c r="V345" s="115">
        <v>1976.2774959999999</v>
      </c>
      <c r="W345" s="115">
        <f t="shared" si="65"/>
        <v>15154095.839328</v>
      </c>
      <c r="X345" s="276" t="s">
        <v>5146</v>
      </c>
      <c r="AH345" s="20">
        <v>79</v>
      </c>
      <c r="AI345" s="20" t="s">
        <v>4993</v>
      </c>
      <c r="AJ345" s="115">
        <v>2480000</v>
      </c>
      <c r="AK345" s="20">
        <v>0</v>
      </c>
      <c r="AL345" s="20">
        <f t="shared" si="76"/>
        <v>385</v>
      </c>
      <c r="AM345" s="20">
        <f t="shared" si="77"/>
        <v>954800000</v>
      </c>
      <c r="AN345" s="20"/>
    </row>
    <row r="346" spans="17:46" ht="30">
      <c r="Q346" s="97" t="s">
        <v>5102</v>
      </c>
      <c r="R346" s="93">
        <v>6937</v>
      </c>
      <c r="T346" s="19" t="s">
        <v>5598</v>
      </c>
      <c r="U346" s="19">
        <v>-43325</v>
      </c>
      <c r="V346" s="115">
        <v>2146.5548840000001</v>
      </c>
      <c r="W346" s="115">
        <f t="shared" si="65"/>
        <v>-92999490.349300012</v>
      </c>
      <c r="X346" s="276" t="s">
        <v>5599</v>
      </c>
      <c r="AA346" t="s">
        <v>25</v>
      </c>
      <c r="AH346" s="147">
        <v>80</v>
      </c>
      <c r="AI346" s="147" t="s">
        <v>4993</v>
      </c>
      <c r="AJ346" s="186">
        <v>2480000</v>
      </c>
      <c r="AK346" s="147">
        <v>12</v>
      </c>
      <c r="AL346" s="147">
        <f t="shared" si="76"/>
        <v>385</v>
      </c>
      <c r="AM346" s="147">
        <f t="shared" si="77"/>
        <v>954800000</v>
      </c>
      <c r="AN346" s="147"/>
    </row>
    <row r="347" spans="17:46">
      <c r="Q347" s="97" t="s">
        <v>5102</v>
      </c>
      <c r="R347" s="93">
        <v>4046552</v>
      </c>
      <c r="T347" s="187" t="s">
        <v>5598</v>
      </c>
      <c r="U347" s="187">
        <v>-589</v>
      </c>
      <c r="V347" s="186">
        <v>2146.5548840000001</v>
      </c>
      <c r="W347" s="186">
        <f t="shared" si="65"/>
        <v>-1264320.8266760001</v>
      </c>
      <c r="X347" s="275" t="s">
        <v>5604</v>
      </c>
      <c r="Y347" t="s">
        <v>25</v>
      </c>
      <c r="AH347" s="20">
        <v>81</v>
      </c>
      <c r="AI347" s="20" t="s">
        <v>5000</v>
      </c>
      <c r="AJ347" s="115">
        <v>-24159500</v>
      </c>
      <c r="AK347" s="20">
        <v>4</v>
      </c>
      <c r="AL347" s="20">
        <f t="shared" si="76"/>
        <v>373</v>
      </c>
      <c r="AM347" s="20">
        <f t="shared" si="77"/>
        <v>-9011493500</v>
      </c>
      <c r="AN347" s="20" t="s">
        <v>5008</v>
      </c>
    </row>
    <row r="348" spans="17:46">
      <c r="Q348" s="97" t="s">
        <v>5105</v>
      </c>
      <c r="R348" s="93">
        <v>-3884943</v>
      </c>
      <c r="T348" s="19" t="s">
        <v>5611</v>
      </c>
      <c r="U348" s="19">
        <v>20888</v>
      </c>
      <c r="V348" s="115">
        <v>2428.4521530000002</v>
      </c>
      <c r="W348" s="115">
        <f t="shared" si="65"/>
        <v>50725508.571864001</v>
      </c>
      <c r="X348" s="276" t="s">
        <v>5146</v>
      </c>
      <c r="Y348" t="s">
        <v>25</v>
      </c>
      <c r="Z348" t="s">
        <v>25</v>
      </c>
      <c r="AH348" s="20">
        <v>82</v>
      </c>
      <c r="AI348" s="20" t="s">
        <v>5010</v>
      </c>
      <c r="AJ348" s="115">
        <v>400000</v>
      </c>
      <c r="AK348" s="20">
        <v>3</v>
      </c>
      <c r="AL348" s="20">
        <f t="shared" si="76"/>
        <v>369</v>
      </c>
      <c r="AM348" s="20">
        <f t="shared" si="77"/>
        <v>147600000</v>
      </c>
      <c r="AN348" s="20"/>
    </row>
    <row r="349" spans="17:46">
      <c r="Q349" s="97" t="s">
        <v>5114</v>
      </c>
      <c r="R349" s="93">
        <v>6022</v>
      </c>
      <c r="T349" s="19" t="s">
        <v>5613</v>
      </c>
      <c r="U349" s="19">
        <v>21663</v>
      </c>
      <c r="V349" s="115">
        <v>2308.0067819999999</v>
      </c>
      <c r="W349" s="115">
        <f t="shared" si="65"/>
        <v>49998350.918466002</v>
      </c>
      <c r="X349" s="276" t="s">
        <v>5616</v>
      </c>
      <c r="AH349" s="147">
        <v>83</v>
      </c>
      <c r="AI349" s="147" t="s">
        <v>5017</v>
      </c>
      <c r="AJ349" s="186">
        <v>40000</v>
      </c>
      <c r="AK349" s="147">
        <v>0</v>
      </c>
      <c r="AL349" s="147">
        <f t="shared" si="76"/>
        <v>366</v>
      </c>
      <c r="AM349" s="147">
        <f t="shared" si="77"/>
        <v>14640000</v>
      </c>
      <c r="AN349" s="147"/>
    </row>
    <row r="350" spans="17:46">
      <c r="Q350" s="97" t="s">
        <v>5141</v>
      </c>
      <c r="R350" s="93">
        <v>400000</v>
      </c>
      <c r="T350" s="19" t="s">
        <v>5613</v>
      </c>
      <c r="U350" s="19">
        <v>977</v>
      </c>
      <c r="V350" s="115">
        <v>2335.6821479999999</v>
      </c>
      <c r="W350" s="115">
        <f t="shared" si="65"/>
        <v>2281961.458596</v>
      </c>
      <c r="X350" s="276" t="s">
        <v>5146</v>
      </c>
      <c r="AH350" s="20">
        <v>84</v>
      </c>
      <c r="AI350" s="20" t="s">
        <v>5017</v>
      </c>
      <c r="AJ350" s="115">
        <v>40000</v>
      </c>
      <c r="AK350" s="20">
        <v>5</v>
      </c>
      <c r="AL350" s="20">
        <f t="shared" si="76"/>
        <v>366</v>
      </c>
      <c r="AM350" s="20">
        <f t="shared" si="77"/>
        <v>14640000</v>
      </c>
      <c r="AN350" s="20"/>
    </row>
    <row r="351" spans="17:46">
      <c r="Q351" s="97" t="s">
        <v>5145</v>
      </c>
      <c r="R351" s="93">
        <v>92847</v>
      </c>
      <c r="T351" s="19" t="s">
        <v>5622</v>
      </c>
      <c r="U351" s="19">
        <v>4155</v>
      </c>
      <c r="V351" s="115">
        <v>2647</v>
      </c>
      <c r="W351" s="115">
        <f t="shared" si="65"/>
        <v>10998285</v>
      </c>
      <c r="X351" s="276" t="s">
        <v>5146</v>
      </c>
      <c r="AH351" s="20">
        <v>85</v>
      </c>
      <c r="AI351" s="20" t="s">
        <v>5026</v>
      </c>
      <c r="AJ351" s="115">
        <v>200000</v>
      </c>
      <c r="AK351" s="20">
        <v>1</v>
      </c>
      <c r="AL351" s="20">
        <f t="shared" si="76"/>
        <v>361</v>
      </c>
      <c r="AM351" s="20">
        <f t="shared" si="77"/>
        <v>72200000</v>
      </c>
      <c r="AN351" s="20"/>
    </row>
    <row r="352" spans="17:46">
      <c r="Q352" s="97" t="s">
        <v>5145</v>
      </c>
      <c r="R352" s="93">
        <v>-100000</v>
      </c>
      <c r="T352" s="19" t="s">
        <v>5623</v>
      </c>
      <c r="U352" s="19">
        <v>351</v>
      </c>
      <c r="V352" s="115">
        <v>2800.6238229999999</v>
      </c>
      <c r="W352" s="115">
        <f t="shared" si="65"/>
        <v>983018.96187300002</v>
      </c>
      <c r="X352" s="276" t="s">
        <v>5146</v>
      </c>
      <c r="AH352" s="20">
        <v>86</v>
      </c>
      <c r="AI352" s="20" t="s">
        <v>5030</v>
      </c>
      <c r="AJ352" s="115">
        <v>500000</v>
      </c>
      <c r="AK352" s="20">
        <v>2</v>
      </c>
      <c r="AL352" s="20">
        <f t="shared" ref="AL352:AL381" si="78">AK352+AL353</f>
        <v>360</v>
      </c>
      <c r="AM352" s="20">
        <f t="shared" ref="AM352:AM381" si="79">AJ352*AL352</f>
        <v>180000000</v>
      </c>
      <c r="AN352" s="20"/>
    </row>
    <row r="353" spans="17:45">
      <c r="Q353" s="97" t="s">
        <v>5149</v>
      </c>
      <c r="R353" s="93">
        <v>10000000</v>
      </c>
      <c r="T353" s="19" t="s">
        <v>5627</v>
      </c>
      <c r="U353" s="19">
        <v>5877</v>
      </c>
      <c r="V353" s="115">
        <v>2901.0160000000001</v>
      </c>
      <c r="W353" s="115">
        <f t="shared" si="65"/>
        <v>17049271.032000002</v>
      </c>
      <c r="X353" s="276" t="s">
        <v>5146</v>
      </c>
      <c r="AH353" s="20">
        <v>87</v>
      </c>
      <c r="AI353" s="20" t="s">
        <v>5032</v>
      </c>
      <c r="AJ353" s="115">
        <v>500000</v>
      </c>
      <c r="AK353" s="20">
        <v>3</v>
      </c>
      <c r="AL353" s="20">
        <f t="shared" si="78"/>
        <v>358</v>
      </c>
      <c r="AM353" s="20">
        <f t="shared" si="79"/>
        <v>179000000</v>
      </c>
      <c r="AN353" s="20"/>
    </row>
    <row r="354" spans="17:45">
      <c r="Q354" s="97" t="s">
        <v>5154</v>
      </c>
      <c r="R354" s="93">
        <v>-400000</v>
      </c>
      <c r="T354" s="19" t="s">
        <v>5632</v>
      </c>
      <c r="U354" s="19">
        <v>2374</v>
      </c>
      <c r="V354" s="115">
        <v>2877</v>
      </c>
      <c r="W354" s="115">
        <f t="shared" ref="W354:W374" si="80">U354*V354</f>
        <v>6829998</v>
      </c>
      <c r="X354" s="276" t="s">
        <v>5146</v>
      </c>
      <c r="AH354" s="20">
        <v>88</v>
      </c>
      <c r="AI354" s="20" t="s">
        <v>5022</v>
      </c>
      <c r="AJ354" s="115">
        <v>250000</v>
      </c>
      <c r="AK354" s="20">
        <v>0</v>
      </c>
      <c r="AL354" s="20">
        <f t="shared" si="78"/>
        <v>355</v>
      </c>
      <c r="AM354" s="20">
        <f t="shared" si="79"/>
        <v>88750000</v>
      </c>
      <c r="AN354" s="20"/>
    </row>
    <row r="355" spans="17:45">
      <c r="Q355" s="97" t="s">
        <v>5158</v>
      </c>
      <c r="R355" s="93">
        <v>5649</v>
      </c>
      <c r="T355" s="19" t="s">
        <v>4214</v>
      </c>
      <c r="U355" s="19">
        <v>2532</v>
      </c>
      <c r="V355" s="115">
        <v>2757.7444</v>
      </c>
      <c r="W355" s="115">
        <f t="shared" si="80"/>
        <v>6982608.8207999999</v>
      </c>
      <c r="X355" s="276" t="s">
        <v>5146</v>
      </c>
      <c r="AH355" s="252">
        <v>89</v>
      </c>
      <c r="AI355" s="252" t="s">
        <v>5022</v>
      </c>
      <c r="AJ355" s="243">
        <v>245000</v>
      </c>
      <c r="AK355" s="252">
        <v>16</v>
      </c>
      <c r="AL355" s="252">
        <f t="shared" si="78"/>
        <v>355</v>
      </c>
      <c r="AM355" s="252">
        <f t="shared" si="79"/>
        <v>86975000</v>
      </c>
      <c r="AN355" s="252"/>
    </row>
    <row r="356" spans="17:45">
      <c r="Q356" s="97" t="s">
        <v>5160</v>
      </c>
      <c r="R356" s="93">
        <v>460000</v>
      </c>
      <c r="T356" s="19" t="s">
        <v>4214</v>
      </c>
      <c r="U356" s="19">
        <v>4987</v>
      </c>
      <c r="V356" s="115">
        <v>2757.7444</v>
      </c>
      <c r="W356" s="115">
        <f t="shared" si="80"/>
        <v>13752871.322800001</v>
      </c>
      <c r="X356" s="276" t="s">
        <v>5650</v>
      </c>
      <c r="Y356" t="s">
        <v>25</v>
      </c>
      <c r="AH356" s="20">
        <v>90</v>
      </c>
      <c r="AI356" s="20" t="s">
        <v>5058</v>
      </c>
      <c r="AJ356" s="115">
        <v>312598</v>
      </c>
      <c r="AK356" s="20">
        <v>0</v>
      </c>
      <c r="AL356" s="20">
        <f t="shared" si="78"/>
        <v>339</v>
      </c>
      <c r="AM356" s="20">
        <f t="shared" si="79"/>
        <v>105970722</v>
      </c>
      <c r="AN356" s="20"/>
    </row>
    <row r="357" spans="17:45">
      <c r="Q357" s="97" t="s">
        <v>5161</v>
      </c>
      <c r="R357" s="93">
        <v>1300000</v>
      </c>
      <c r="T357" s="19" t="s">
        <v>4214</v>
      </c>
      <c r="U357" s="19">
        <v>997</v>
      </c>
      <c r="V357" s="115">
        <v>2757.7444</v>
      </c>
      <c r="W357" s="115">
        <f t="shared" si="80"/>
        <v>2749471.1668000002</v>
      </c>
      <c r="X357" s="276" t="s">
        <v>5651</v>
      </c>
      <c r="Y357" t="s">
        <v>25</v>
      </c>
      <c r="AH357" s="20">
        <v>91</v>
      </c>
      <c r="AI357" s="20" t="s">
        <v>5058</v>
      </c>
      <c r="AJ357" s="115">
        <v>780000</v>
      </c>
      <c r="AK357" s="20">
        <v>0</v>
      </c>
      <c r="AL357" s="20">
        <f t="shared" si="78"/>
        <v>339</v>
      </c>
      <c r="AM357" s="20">
        <f t="shared" si="79"/>
        <v>264420000</v>
      </c>
      <c r="AN357" s="20"/>
    </row>
    <row r="358" spans="17:45" ht="18" customHeight="1">
      <c r="Q358" s="97" t="s">
        <v>5161</v>
      </c>
      <c r="R358" s="93">
        <v>7300000</v>
      </c>
      <c r="T358" s="187" t="s">
        <v>5654</v>
      </c>
      <c r="U358" s="187">
        <v>-18</v>
      </c>
      <c r="V358" s="186">
        <v>2675</v>
      </c>
      <c r="W358" s="186">
        <f t="shared" si="80"/>
        <v>-48150</v>
      </c>
      <c r="X358" s="275" t="s">
        <v>5655</v>
      </c>
      <c r="Z358" t="s">
        <v>25</v>
      </c>
      <c r="AH358" s="193">
        <v>92</v>
      </c>
      <c r="AI358" s="193" t="s">
        <v>5058</v>
      </c>
      <c r="AJ358" s="194">
        <v>-300000</v>
      </c>
      <c r="AK358" s="193">
        <v>1</v>
      </c>
      <c r="AL358" s="193">
        <f t="shared" si="78"/>
        <v>339</v>
      </c>
      <c r="AM358" s="193">
        <f t="shared" si="79"/>
        <v>-101700000</v>
      </c>
      <c r="AN358" s="193"/>
      <c r="AS358" t="s">
        <v>25</v>
      </c>
    </row>
    <row r="359" spans="17:45" ht="21" customHeight="1">
      <c r="Q359" s="97" t="s">
        <v>977</v>
      </c>
      <c r="R359" s="93">
        <v>21203</v>
      </c>
      <c r="T359" s="19" t="s">
        <v>5658</v>
      </c>
      <c r="U359" s="19">
        <v>2874</v>
      </c>
      <c r="V359" s="115">
        <v>2613.1284000000001</v>
      </c>
      <c r="W359" s="115">
        <f t="shared" si="80"/>
        <v>7510131.0216000006</v>
      </c>
      <c r="X359" s="276" t="s">
        <v>5146</v>
      </c>
      <c r="Y359" t="s">
        <v>25</v>
      </c>
      <c r="Z359" t="s">
        <v>25</v>
      </c>
      <c r="AA359" t="s">
        <v>25</v>
      </c>
      <c r="AH359" s="20">
        <v>93</v>
      </c>
      <c r="AI359" s="20" t="s">
        <v>5023</v>
      </c>
      <c r="AJ359" s="115">
        <v>300000</v>
      </c>
      <c r="AK359" s="20">
        <v>0</v>
      </c>
      <c r="AL359" s="20">
        <f t="shared" si="78"/>
        <v>338</v>
      </c>
      <c r="AM359" s="20">
        <f t="shared" si="79"/>
        <v>101400000</v>
      </c>
      <c r="AN359" s="20"/>
    </row>
    <row r="360" spans="17:45">
      <c r="Q360" s="97" t="s">
        <v>4258</v>
      </c>
      <c r="R360" s="93">
        <v>34550</v>
      </c>
      <c r="T360" s="19" t="s">
        <v>5666</v>
      </c>
      <c r="U360" s="19">
        <v>2847</v>
      </c>
      <c r="V360" s="115">
        <v>2556.3841000000002</v>
      </c>
      <c r="W360" s="115">
        <f t="shared" si="80"/>
        <v>7278025.5327000003</v>
      </c>
      <c r="X360" s="276" t="s">
        <v>5146</v>
      </c>
      <c r="Y360" t="s">
        <v>25</v>
      </c>
      <c r="AH360" s="20">
        <v>94</v>
      </c>
      <c r="AI360" s="20" t="s">
        <v>5023</v>
      </c>
      <c r="AJ360" s="115">
        <v>8660000</v>
      </c>
      <c r="AK360" s="20">
        <v>8</v>
      </c>
      <c r="AL360" s="20">
        <f t="shared" si="78"/>
        <v>338</v>
      </c>
      <c r="AM360" s="20">
        <f t="shared" si="79"/>
        <v>2927080000</v>
      </c>
      <c r="AN360" s="20"/>
    </row>
    <row r="361" spans="17:45">
      <c r="Q361" s="97" t="s">
        <v>5159</v>
      </c>
      <c r="R361" s="93">
        <v>-2134406</v>
      </c>
      <c r="S361" t="s">
        <v>25</v>
      </c>
      <c r="T361" s="19" t="s">
        <v>5666</v>
      </c>
      <c r="U361" s="19">
        <v>1222</v>
      </c>
      <c r="V361" s="115">
        <v>2556.3841000000002</v>
      </c>
      <c r="W361" s="115">
        <f t="shared" si="80"/>
        <v>3123901.3702000002</v>
      </c>
      <c r="X361" s="276" t="s">
        <v>5667</v>
      </c>
      <c r="Y361" t="s">
        <v>25</v>
      </c>
      <c r="AA361" t="s">
        <v>25</v>
      </c>
      <c r="AH361" s="147">
        <v>95</v>
      </c>
      <c r="AI361" s="147" t="s">
        <v>5075</v>
      </c>
      <c r="AJ361" s="186">
        <v>200000</v>
      </c>
      <c r="AK361" s="147">
        <v>3</v>
      </c>
      <c r="AL361" s="147">
        <f t="shared" si="78"/>
        <v>330</v>
      </c>
      <c r="AM361" s="147">
        <f t="shared" si="79"/>
        <v>66000000</v>
      </c>
      <c r="AN361" s="147"/>
    </row>
    <row r="362" spans="17:45" ht="18.75" customHeight="1">
      <c r="Q362" s="97" t="s">
        <v>5198</v>
      </c>
      <c r="R362" s="93">
        <v>-618906</v>
      </c>
      <c r="T362" s="19" t="s">
        <v>5675</v>
      </c>
      <c r="U362" s="19">
        <v>73</v>
      </c>
      <c r="V362" s="115">
        <v>2672.0459999999998</v>
      </c>
      <c r="W362" s="115">
        <f t="shared" si="80"/>
        <v>195059.35799999998</v>
      </c>
      <c r="X362" s="276" t="s">
        <v>5146</v>
      </c>
      <c r="Y362" t="s">
        <v>25</v>
      </c>
      <c r="AH362" s="147">
        <v>96</v>
      </c>
      <c r="AI362" s="147" t="s">
        <v>5078</v>
      </c>
      <c r="AJ362" s="186">
        <v>20000</v>
      </c>
      <c r="AK362" s="147">
        <v>1</v>
      </c>
      <c r="AL362" s="147">
        <f t="shared" si="78"/>
        <v>327</v>
      </c>
      <c r="AM362" s="147">
        <f t="shared" si="79"/>
        <v>6540000</v>
      </c>
      <c r="AN362" s="147"/>
    </row>
    <row r="363" spans="17:45" ht="30">
      <c r="Q363" s="97" t="s">
        <v>5201</v>
      </c>
      <c r="R363" s="93">
        <v>-54615</v>
      </c>
      <c r="T363" s="187" t="s">
        <v>5680</v>
      </c>
      <c r="U363" s="187">
        <v>-19</v>
      </c>
      <c r="V363" s="186">
        <v>2598.1260000000002</v>
      </c>
      <c r="W363" s="186">
        <f t="shared" si="80"/>
        <v>-49364.394</v>
      </c>
      <c r="X363" s="275" t="s">
        <v>5655</v>
      </c>
      <c r="AH363" s="20">
        <v>97</v>
      </c>
      <c r="AI363" s="20" t="s">
        <v>5088</v>
      </c>
      <c r="AJ363" s="115">
        <v>14340000</v>
      </c>
      <c r="AK363" s="20">
        <v>7</v>
      </c>
      <c r="AL363" s="20">
        <f t="shared" si="78"/>
        <v>326</v>
      </c>
      <c r="AM363" s="20">
        <f t="shared" si="79"/>
        <v>4674840000</v>
      </c>
      <c r="AN363" s="20"/>
    </row>
    <row r="364" spans="17:45" ht="30">
      <c r="Q364" s="97" t="s">
        <v>5244</v>
      </c>
      <c r="R364" s="93">
        <v>18000000</v>
      </c>
      <c r="T364" s="19" t="s">
        <v>5680</v>
      </c>
      <c r="U364" s="19">
        <v>332</v>
      </c>
      <c r="V364" s="115">
        <v>2598.1260000000002</v>
      </c>
      <c r="W364" s="115">
        <f t="shared" si="80"/>
        <v>862577.83200000005</v>
      </c>
      <c r="X364" s="276" t="s">
        <v>5681</v>
      </c>
      <c r="AB364" t="s">
        <v>25</v>
      </c>
      <c r="AH364" s="20">
        <v>98</v>
      </c>
      <c r="AI364" s="20" t="s">
        <v>5096</v>
      </c>
      <c r="AJ364" s="115">
        <v>10000000</v>
      </c>
      <c r="AK364" s="20">
        <v>6</v>
      </c>
      <c r="AL364" s="20">
        <f t="shared" si="78"/>
        <v>319</v>
      </c>
      <c r="AM364" s="20">
        <f t="shared" si="79"/>
        <v>3190000000</v>
      </c>
      <c r="AN364" s="20" t="s">
        <v>4692</v>
      </c>
    </row>
    <row r="365" spans="17:45">
      <c r="Q365" s="97" t="s">
        <v>5296</v>
      </c>
      <c r="R365" s="93">
        <v>20000000</v>
      </c>
      <c r="T365" s="19" t="s">
        <v>5683</v>
      </c>
      <c r="U365" s="19">
        <v>346</v>
      </c>
      <c r="V365" s="115">
        <v>2659.8510000000001</v>
      </c>
      <c r="W365" s="115">
        <f t="shared" si="80"/>
        <v>920308.446</v>
      </c>
      <c r="X365" s="276" t="s">
        <v>5146</v>
      </c>
      <c r="Y365" t="s">
        <v>25</v>
      </c>
      <c r="AA365" t="s">
        <v>25</v>
      </c>
      <c r="AH365" s="20">
        <v>99</v>
      </c>
      <c r="AI365" s="20" t="s">
        <v>5102</v>
      </c>
      <c r="AJ365" s="115">
        <v>4033949</v>
      </c>
      <c r="AK365" s="20">
        <v>2</v>
      </c>
      <c r="AL365" s="20">
        <f t="shared" si="78"/>
        <v>313</v>
      </c>
      <c r="AM365" s="20">
        <f t="shared" si="79"/>
        <v>1262626037</v>
      </c>
      <c r="AN365" s="20" t="s">
        <v>5104</v>
      </c>
    </row>
    <row r="366" spans="17:45">
      <c r="Q366" s="97" t="s">
        <v>5306</v>
      </c>
      <c r="R366" s="93">
        <v>27694196</v>
      </c>
      <c r="T366" s="19" t="s">
        <v>5685</v>
      </c>
      <c r="U366" s="19">
        <v>1722</v>
      </c>
      <c r="V366" s="115">
        <v>2692.1079220000001</v>
      </c>
      <c r="W366" s="115">
        <f t="shared" si="80"/>
        <v>4635809.8416840006</v>
      </c>
      <c r="X366" s="276" t="s">
        <v>5146</v>
      </c>
      <c r="Y366" t="s">
        <v>25</v>
      </c>
      <c r="AA366" t="s">
        <v>25</v>
      </c>
      <c r="AH366" s="147">
        <v>100</v>
      </c>
      <c r="AI366" s="147" t="s">
        <v>5108</v>
      </c>
      <c r="AJ366" s="186">
        <v>11500000</v>
      </c>
      <c r="AK366" s="147">
        <v>2</v>
      </c>
      <c r="AL366" s="147">
        <f t="shared" si="78"/>
        <v>311</v>
      </c>
      <c r="AM366" s="147">
        <f t="shared" si="79"/>
        <v>3576500000</v>
      </c>
      <c r="AN366" s="147" t="s">
        <v>5110</v>
      </c>
    </row>
    <row r="367" spans="17:45" ht="30">
      <c r="Q367" s="97" t="s">
        <v>5385</v>
      </c>
      <c r="R367" s="93">
        <v>7211722</v>
      </c>
      <c r="T367" s="187" t="s">
        <v>5693</v>
      </c>
      <c r="U367" s="187">
        <v>-44</v>
      </c>
      <c r="V367" s="186">
        <v>2725.4</v>
      </c>
      <c r="W367" s="186">
        <f t="shared" si="80"/>
        <v>-119917.6</v>
      </c>
      <c r="X367" s="275" t="s">
        <v>5655</v>
      </c>
      <c r="Y367" t="s">
        <v>25</v>
      </c>
      <c r="AH367" s="147">
        <v>101</v>
      </c>
      <c r="AI367" s="147" t="s">
        <v>5114</v>
      </c>
      <c r="AJ367" s="186">
        <v>250000</v>
      </c>
      <c r="AK367" s="147">
        <v>3</v>
      </c>
      <c r="AL367" s="147">
        <f t="shared" si="78"/>
        <v>309</v>
      </c>
      <c r="AM367" s="147">
        <f t="shared" si="79"/>
        <v>77250000</v>
      </c>
      <c r="AN367" s="147"/>
    </row>
    <row r="368" spans="17:45">
      <c r="Q368" s="97" t="s">
        <v>5386</v>
      </c>
      <c r="R368" s="93">
        <v>8481864</v>
      </c>
      <c r="T368" s="19" t="s">
        <v>5693</v>
      </c>
      <c r="U368" s="19">
        <v>106</v>
      </c>
      <c r="V368" s="115">
        <v>2725.4</v>
      </c>
      <c r="W368" s="115">
        <f t="shared" si="80"/>
        <v>288892.40000000002</v>
      </c>
      <c r="X368" s="276" t="s">
        <v>452</v>
      </c>
      <c r="AH368" s="147">
        <v>102</v>
      </c>
      <c r="AI368" s="147" t="s">
        <v>5139</v>
      </c>
      <c r="AJ368" s="186">
        <v>6000000</v>
      </c>
      <c r="AK368" s="147">
        <v>1</v>
      </c>
      <c r="AL368" s="147">
        <f t="shared" si="78"/>
        <v>306</v>
      </c>
      <c r="AM368" s="147">
        <f t="shared" si="79"/>
        <v>1836000000</v>
      </c>
      <c r="AN368" s="147" t="s">
        <v>5110</v>
      </c>
    </row>
    <row r="369" spans="17:45" ht="30">
      <c r="Q369" s="97" t="s">
        <v>5394</v>
      </c>
      <c r="R369" s="93">
        <v>1558697</v>
      </c>
      <c r="T369" s="187" t="s">
        <v>5674</v>
      </c>
      <c r="U369" s="187">
        <v>-55</v>
      </c>
      <c r="V369" s="186">
        <v>2730.81</v>
      </c>
      <c r="W369" s="186">
        <f t="shared" si="80"/>
        <v>-150194.54999999999</v>
      </c>
      <c r="X369" s="275" t="s">
        <v>5655</v>
      </c>
      <c r="AH369" s="147">
        <v>103</v>
      </c>
      <c r="AI369" s="147" t="s">
        <v>5141</v>
      </c>
      <c r="AJ369" s="186">
        <v>1500000</v>
      </c>
      <c r="AK369" s="147">
        <v>6</v>
      </c>
      <c r="AL369" s="147">
        <f t="shared" si="78"/>
        <v>305</v>
      </c>
      <c r="AM369" s="147">
        <f t="shared" si="79"/>
        <v>457500000</v>
      </c>
      <c r="AN369" s="147" t="s">
        <v>5110</v>
      </c>
    </row>
    <row r="370" spans="17:45">
      <c r="Q370" s="97" t="s">
        <v>5399</v>
      </c>
      <c r="R370" s="93">
        <v>9042009</v>
      </c>
      <c r="T370" s="19"/>
      <c r="U370" s="19"/>
      <c r="V370" s="115"/>
      <c r="W370" s="115"/>
      <c r="X370" s="276"/>
      <c r="Z370" t="s">
        <v>25</v>
      </c>
      <c r="AH370" s="20">
        <v>104</v>
      </c>
      <c r="AI370" s="20" t="s">
        <v>960</v>
      </c>
      <c r="AJ370" s="115">
        <v>-3960043</v>
      </c>
      <c r="AK370" s="20">
        <v>2</v>
      </c>
      <c r="AL370" s="20">
        <f t="shared" si="78"/>
        <v>299</v>
      </c>
      <c r="AM370" s="20">
        <f t="shared" si="79"/>
        <v>-1184052857</v>
      </c>
      <c r="AN370" s="20"/>
    </row>
    <row r="371" spans="17:45">
      <c r="Q371" s="97" t="s">
        <v>5400</v>
      </c>
      <c r="R371" s="93">
        <v>94969</v>
      </c>
      <c r="T371" s="19"/>
      <c r="U371" s="19"/>
      <c r="V371" s="115"/>
      <c r="W371" s="115"/>
      <c r="X371" s="276"/>
      <c r="AH371" s="20">
        <v>105</v>
      </c>
      <c r="AI371" s="20" t="s">
        <v>5160</v>
      </c>
      <c r="AJ371" s="115">
        <v>230000</v>
      </c>
      <c r="AK371" s="20">
        <v>0</v>
      </c>
      <c r="AL371" s="20">
        <f t="shared" si="78"/>
        <v>297</v>
      </c>
      <c r="AM371" s="20">
        <f t="shared" si="79"/>
        <v>68310000</v>
      </c>
      <c r="AN371" s="20"/>
    </row>
    <row r="372" spans="17:45">
      <c r="Q372" s="97" t="s">
        <v>5405</v>
      </c>
      <c r="R372" s="93">
        <v>40000000</v>
      </c>
      <c r="T372" s="19"/>
      <c r="U372" s="19"/>
      <c r="V372" s="115"/>
      <c r="W372" s="115">
        <f t="shared" si="80"/>
        <v>0</v>
      </c>
      <c r="X372" s="276"/>
      <c r="Y372" t="s">
        <v>25</v>
      </c>
      <c r="AH372" s="147">
        <v>106</v>
      </c>
      <c r="AI372" s="147" t="s">
        <v>5160</v>
      </c>
      <c r="AJ372" s="186">
        <v>230000</v>
      </c>
      <c r="AK372" s="147">
        <v>1</v>
      </c>
      <c r="AL372" s="147">
        <f t="shared" si="78"/>
        <v>297</v>
      </c>
      <c r="AM372" s="147">
        <f t="shared" si="79"/>
        <v>68310000</v>
      </c>
      <c r="AN372" s="147"/>
      <c r="AR372" t="s">
        <v>25</v>
      </c>
    </row>
    <row r="373" spans="17:45">
      <c r="Q373" s="97" t="s">
        <v>5405</v>
      </c>
      <c r="R373" s="93">
        <v>2806274</v>
      </c>
      <c r="T373" s="19"/>
      <c r="U373" s="19"/>
      <c r="V373" s="115"/>
      <c r="W373" s="115">
        <f t="shared" si="80"/>
        <v>0</v>
      </c>
      <c r="X373" s="276"/>
      <c r="AH373" s="147">
        <v>107</v>
      </c>
      <c r="AI373" s="147" t="s">
        <v>5161</v>
      </c>
      <c r="AJ373" s="186">
        <v>500000</v>
      </c>
      <c r="AK373" s="147">
        <v>1</v>
      </c>
      <c r="AL373" s="147">
        <f t="shared" si="78"/>
        <v>296</v>
      </c>
      <c r="AM373" s="147">
        <f t="shared" si="79"/>
        <v>148000000</v>
      </c>
      <c r="AN373" s="147"/>
    </row>
    <row r="374" spans="17:45">
      <c r="Q374" s="97" t="s">
        <v>5406</v>
      </c>
      <c r="R374" s="93">
        <v>1331702</v>
      </c>
      <c r="T374" s="97"/>
      <c r="U374" s="166"/>
      <c r="V374" s="111"/>
      <c r="W374" s="115">
        <f t="shared" si="80"/>
        <v>0</v>
      </c>
      <c r="X374" s="97"/>
      <c r="Y374" t="s">
        <v>25</v>
      </c>
      <c r="AH374" s="20">
        <v>108</v>
      </c>
      <c r="AI374" s="20" t="s">
        <v>5164</v>
      </c>
      <c r="AJ374" s="115">
        <v>-880000</v>
      </c>
      <c r="AK374" s="20">
        <v>4</v>
      </c>
      <c r="AL374" s="20">
        <f t="shared" si="78"/>
        <v>295</v>
      </c>
      <c r="AM374" s="20">
        <f t="shared" si="79"/>
        <v>-259600000</v>
      </c>
      <c r="AN374" s="20"/>
      <c r="AS374" t="s">
        <v>25</v>
      </c>
    </row>
    <row r="375" spans="17:45">
      <c r="Q375" s="97" t="s">
        <v>5415</v>
      </c>
      <c r="R375" s="93">
        <v>851238</v>
      </c>
      <c r="T375" s="166"/>
      <c r="U375" s="166">
        <f>SUM(U162:U374)</f>
        <v>3705103</v>
      </c>
      <c r="V375" s="97"/>
      <c r="W375" s="97"/>
      <c r="X375" s="97"/>
      <c r="AH375" s="193">
        <v>109</v>
      </c>
      <c r="AI375" s="193" t="s">
        <v>5168</v>
      </c>
      <c r="AJ375" s="194">
        <v>873000</v>
      </c>
      <c r="AK375" s="193">
        <v>0</v>
      </c>
      <c r="AL375" s="193">
        <f t="shared" si="78"/>
        <v>291</v>
      </c>
      <c r="AM375" s="193">
        <f t="shared" si="79"/>
        <v>254043000</v>
      </c>
      <c r="AN375" s="193" t="s">
        <v>5110</v>
      </c>
    </row>
    <row r="376" spans="17:45">
      <c r="Q376" s="97" t="s">
        <v>5453</v>
      </c>
      <c r="R376" s="93">
        <v>652592</v>
      </c>
      <c r="T376" s="97"/>
      <c r="U376" s="97" t="s">
        <v>6</v>
      </c>
      <c r="V376" s="97"/>
      <c r="W376" s="97"/>
      <c r="X376" s="97"/>
      <c r="AH376" s="20">
        <v>110</v>
      </c>
      <c r="AI376" s="20" t="s">
        <v>5168</v>
      </c>
      <c r="AJ376" s="115">
        <v>127000</v>
      </c>
      <c r="AK376" s="20">
        <v>0</v>
      </c>
      <c r="AL376" s="20">
        <f t="shared" si="78"/>
        <v>291</v>
      </c>
      <c r="AM376" s="20">
        <f t="shared" si="79"/>
        <v>36957000</v>
      </c>
      <c r="AN376" s="20" t="s">
        <v>5110</v>
      </c>
    </row>
    <row r="377" spans="17:45">
      <c r="Q377" s="97" t="s">
        <v>5520</v>
      </c>
      <c r="R377" s="93">
        <v>554139</v>
      </c>
      <c r="T377" s="198" t="s">
        <v>4441</v>
      </c>
      <c r="Y377" t="s">
        <v>25</v>
      </c>
      <c r="AH377" s="20">
        <v>111</v>
      </c>
      <c r="AI377" s="20" t="s">
        <v>5168</v>
      </c>
      <c r="AJ377" s="115">
        <v>73000</v>
      </c>
      <c r="AK377" s="20">
        <v>1</v>
      </c>
      <c r="AL377" s="20">
        <f t="shared" si="78"/>
        <v>291</v>
      </c>
      <c r="AM377" s="20">
        <f t="shared" si="79"/>
        <v>21243000</v>
      </c>
      <c r="AN377" s="20"/>
      <c r="AR377" t="s">
        <v>25</v>
      </c>
    </row>
    <row r="378" spans="17:45">
      <c r="Q378" s="97" t="s">
        <v>5521</v>
      </c>
      <c r="R378" s="93">
        <v>70373089</v>
      </c>
      <c r="T378" s="197">
        <f>R178/U375</f>
        <v>3049.1840599303177</v>
      </c>
      <c r="AH378" s="20">
        <v>112</v>
      </c>
      <c r="AI378" s="20" t="s">
        <v>977</v>
      </c>
      <c r="AJ378" s="115">
        <v>4300000</v>
      </c>
      <c r="AK378" s="20">
        <v>1</v>
      </c>
      <c r="AL378" s="20">
        <f t="shared" si="78"/>
        <v>290</v>
      </c>
      <c r="AM378" s="20">
        <f t="shared" si="79"/>
        <v>1247000000</v>
      </c>
      <c r="AN378" s="20"/>
    </row>
    <row r="379" spans="17:45">
      <c r="Q379" s="97" t="s">
        <v>5522</v>
      </c>
      <c r="R379" s="93">
        <v>1219655</v>
      </c>
      <c r="W379" s="112"/>
      <c r="AH379" s="20">
        <v>113</v>
      </c>
      <c r="AI379" s="20" t="s">
        <v>5036</v>
      </c>
      <c r="AJ379" s="115">
        <v>1600000</v>
      </c>
      <c r="AK379" s="20">
        <v>0</v>
      </c>
      <c r="AL379" s="20">
        <f t="shared" si="78"/>
        <v>289</v>
      </c>
      <c r="AM379" s="20">
        <f t="shared" si="79"/>
        <v>462400000</v>
      </c>
      <c r="AN379" s="20"/>
    </row>
    <row r="380" spans="17:45">
      <c r="Q380" s="97" t="s">
        <v>5523</v>
      </c>
      <c r="R380" s="93">
        <v>15350146</v>
      </c>
      <c r="U380" s="94" t="s">
        <v>267</v>
      </c>
      <c r="V380" t="s">
        <v>4442</v>
      </c>
      <c r="AH380" s="20">
        <v>114</v>
      </c>
      <c r="AI380" s="20" t="s">
        <v>4258</v>
      </c>
      <c r="AJ380" s="115">
        <v>-10000000</v>
      </c>
      <c r="AK380" s="20">
        <v>1</v>
      </c>
      <c r="AL380" s="20">
        <f t="shared" si="78"/>
        <v>289</v>
      </c>
      <c r="AM380" s="20">
        <f t="shared" si="79"/>
        <v>-2890000000</v>
      </c>
      <c r="AN380" s="20" t="s">
        <v>5175</v>
      </c>
    </row>
    <row r="381" spans="17:45">
      <c r="Q381" s="97" t="s">
        <v>5525</v>
      </c>
      <c r="R381" s="93">
        <v>121018</v>
      </c>
      <c r="T381" s="112"/>
      <c r="U381" s="93">
        <v>150000</v>
      </c>
      <c r="V381">
        <f>U381/T378</f>
        <v>49.193488176449378</v>
      </c>
      <c r="Y381" t="s">
        <v>25</v>
      </c>
      <c r="AH381" s="20">
        <v>115</v>
      </c>
      <c r="AI381" s="20" t="s">
        <v>5174</v>
      </c>
      <c r="AJ381" s="115">
        <v>571000</v>
      </c>
      <c r="AK381" s="20">
        <v>4</v>
      </c>
      <c r="AL381" s="20">
        <f t="shared" si="78"/>
        <v>288</v>
      </c>
      <c r="AM381" s="20">
        <f t="shared" si="79"/>
        <v>164448000</v>
      </c>
      <c r="AN381" s="20"/>
      <c r="AP381" t="s">
        <v>25</v>
      </c>
    </row>
    <row r="382" spans="17:45">
      <c r="Q382" s="97" t="s">
        <v>5529</v>
      </c>
      <c r="R382" s="93">
        <v>1024993</v>
      </c>
      <c r="T382" t="s">
        <v>25</v>
      </c>
      <c r="AH382" s="20">
        <v>116</v>
      </c>
      <c r="AI382" s="20" t="s">
        <v>5176</v>
      </c>
      <c r="AJ382" s="115">
        <v>200000</v>
      </c>
      <c r="AK382" s="20">
        <v>3</v>
      </c>
      <c r="AL382" s="20">
        <f t="shared" ref="AL382:AL393" si="81">AK382+AL383</f>
        <v>284</v>
      </c>
      <c r="AM382" s="20">
        <f t="shared" ref="AM382:AM393" si="82">AJ382*AL382</f>
        <v>56800000</v>
      </c>
      <c r="AN382" s="20"/>
    </row>
    <row r="383" spans="17:45">
      <c r="Q383" s="97" t="s">
        <v>5545</v>
      </c>
      <c r="R383" s="93">
        <v>1948077</v>
      </c>
      <c r="S383" t="s">
        <v>25</v>
      </c>
      <c r="T383" t="s">
        <v>25</v>
      </c>
      <c r="U383" s="94" t="s">
        <v>25</v>
      </c>
      <c r="V383" s="22"/>
      <c r="W383" s="219"/>
      <c r="X383" s="286"/>
      <c r="AH383" s="147">
        <v>117</v>
      </c>
      <c r="AI383" s="147" t="s">
        <v>5183</v>
      </c>
      <c r="AJ383" s="186">
        <v>50000</v>
      </c>
      <c r="AK383" s="147">
        <v>7</v>
      </c>
      <c r="AL383" s="147">
        <f t="shared" si="81"/>
        <v>281</v>
      </c>
      <c r="AM383" s="147">
        <f t="shared" si="82"/>
        <v>14050000</v>
      </c>
      <c r="AN383" s="147"/>
    </row>
    <row r="384" spans="17:45">
      <c r="Q384" s="97" t="s">
        <v>5546</v>
      </c>
      <c r="R384" s="93">
        <v>50000120</v>
      </c>
      <c r="AH384" s="20">
        <v>118</v>
      </c>
      <c r="AI384" s="20" t="s">
        <v>5191</v>
      </c>
      <c r="AJ384" s="115">
        <v>-500000</v>
      </c>
      <c r="AK384" s="20">
        <v>12</v>
      </c>
      <c r="AL384" s="20">
        <f t="shared" si="81"/>
        <v>274</v>
      </c>
      <c r="AM384" s="20">
        <f t="shared" si="82"/>
        <v>-137000000</v>
      </c>
      <c r="AN384" s="20"/>
    </row>
    <row r="385" spans="16:45">
      <c r="Q385" s="97" t="s">
        <v>5547</v>
      </c>
      <c r="R385" s="93">
        <v>20000055</v>
      </c>
      <c r="W385" s="112">
        <f>U381+3120000</f>
        <v>3270000</v>
      </c>
      <c r="AH385" s="147">
        <v>119</v>
      </c>
      <c r="AI385" s="147" t="s">
        <v>976</v>
      </c>
      <c r="AJ385" s="186">
        <v>-50000</v>
      </c>
      <c r="AK385" s="147">
        <v>0</v>
      </c>
      <c r="AL385" s="147">
        <f t="shared" si="81"/>
        <v>262</v>
      </c>
      <c r="AM385" s="147">
        <f t="shared" si="82"/>
        <v>-13100000</v>
      </c>
      <c r="AN385" s="147"/>
    </row>
    <row r="386" spans="16:45" ht="60">
      <c r="Q386" s="97" t="s">
        <v>5581</v>
      </c>
      <c r="R386" s="93">
        <v>5745697</v>
      </c>
      <c r="T386" s="22" t="s">
        <v>4426</v>
      </c>
      <c r="V386" s="219"/>
      <c r="AH386" s="20">
        <v>120</v>
      </c>
      <c r="AI386" s="20" t="s">
        <v>976</v>
      </c>
      <c r="AJ386" s="115">
        <v>-50000</v>
      </c>
      <c r="AK386" s="20">
        <v>28</v>
      </c>
      <c r="AL386" s="20">
        <f t="shared" si="81"/>
        <v>262</v>
      </c>
      <c r="AM386" s="20">
        <f t="shared" si="82"/>
        <v>-13100000</v>
      </c>
      <c r="AN386" s="20"/>
      <c r="AQ386" t="s">
        <v>25</v>
      </c>
    </row>
    <row r="387" spans="16:45" ht="45">
      <c r="Q387" s="97" t="s">
        <v>5582</v>
      </c>
      <c r="R387" s="93">
        <v>908158</v>
      </c>
      <c r="T387" s="22" t="s">
        <v>4427</v>
      </c>
      <c r="W387" s="286"/>
      <c r="Y387" t="s">
        <v>25</v>
      </c>
      <c r="AF387" s="94" t="s">
        <v>25</v>
      </c>
      <c r="AH387" s="20">
        <v>121</v>
      </c>
      <c r="AI387" s="20" t="s">
        <v>5233</v>
      </c>
      <c r="AJ387" s="115">
        <v>-3020625</v>
      </c>
      <c r="AK387" s="20">
        <v>18</v>
      </c>
      <c r="AL387" s="20">
        <f t="shared" si="81"/>
        <v>234</v>
      </c>
      <c r="AM387" s="20">
        <f t="shared" si="82"/>
        <v>-706826250</v>
      </c>
      <c r="AN387" s="20"/>
    </row>
    <row r="388" spans="16:45">
      <c r="Q388" s="97" t="s">
        <v>5583</v>
      </c>
      <c r="R388" s="93">
        <v>12642697</v>
      </c>
      <c r="AH388" s="20">
        <v>122</v>
      </c>
      <c r="AI388" s="20" t="s">
        <v>5244</v>
      </c>
      <c r="AJ388" s="115">
        <v>18000000</v>
      </c>
      <c r="AK388" s="20">
        <v>19</v>
      </c>
      <c r="AL388" s="20">
        <f t="shared" si="81"/>
        <v>216</v>
      </c>
      <c r="AM388" s="20">
        <f t="shared" si="82"/>
        <v>3888000000</v>
      </c>
      <c r="AN388" s="20"/>
      <c r="AS388" t="s">
        <v>25</v>
      </c>
    </row>
    <row r="389" spans="16:45">
      <c r="Q389" s="97" t="s">
        <v>5584</v>
      </c>
      <c r="R389" s="93">
        <v>12297317.81435</v>
      </c>
      <c r="AH389" s="20">
        <v>123</v>
      </c>
      <c r="AI389" s="20" t="s">
        <v>5273</v>
      </c>
      <c r="AJ389" s="115">
        <v>2000000</v>
      </c>
      <c r="AK389" s="20">
        <v>6</v>
      </c>
      <c r="AL389" s="20">
        <f t="shared" si="81"/>
        <v>197</v>
      </c>
      <c r="AM389" s="20">
        <f t="shared" si="82"/>
        <v>394000000</v>
      </c>
      <c r="AN389" s="20"/>
    </row>
    <row r="390" spans="16:45">
      <c r="Q390" s="97" t="s">
        <v>5585</v>
      </c>
      <c r="R390" s="93">
        <v>8959643.8508579992</v>
      </c>
      <c r="T390" s="97" t="s">
        <v>4443</v>
      </c>
      <c r="U390" s="97" t="s">
        <v>4421</v>
      </c>
      <c r="V390" s="97" t="s">
        <v>938</v>
      </c>
      <c r="W390" s="72" t="s">
        <v>5668</v>
      </c>
      <c r="Y390" t="s">
        <v>25</v>
      </c>
      <c r="AH390" s="147">
        <v>124</v>
      </c>
      <c r="AI390" s="147" t="s">
        <v>5285</v>
      </c>
      <c r="AJ390" s="186">
        <v>40000000</v>
      </c>
      <c r="AK390" s="147">
        <v>6</v>
      </c>
      <c r="AL390" s="147">
        <f t="shared" si="81"/>
        <v>191</v>
      </c>
      <c r="AM390" s="147">
        <f t="shared" si="82"/>
        <v>7640000000</v>
      </c>
      <c r="AN390" s="147"/>
    </row>
    <row r="391" spans="16:45">
      <c r="P391" t="s">
        <v>25</v>
      </c>
      <c r="Q391" s="97" t="s">
        <v>5586</v>
      </c>
      <c r="R391" s="93">
        <v>15154095.839328</v>
      </c>
      <c r="T391" s="93">
        <f>S227+R282+R408</f>
        <v>1109254268.6414528</v>
      </c>
      <c r="U391" s="93">
        <f>R178</f>
        <v>11297541008</v>
      </c>
      <c r="V391" s="93">
        <f>U391-T391</f>
        <v>10188286739.358547</v>
      </c>
      <c r="AH391" s="20">
        <v>125</v>
      </c>
      <c r="AI391" s="20" t="s">
        <v>5296</v>
      </c>
      <c r="AJ391" s="115">
        <v>200000</v>
      </c>
      <c r="AK391" s="20">
        <v>0</v>
      </c>
      <c r="AL391" s="20">
        <f t="shared" si="81"/>
        <v>185</v>
      </c>
      <c r="AM391" s="20">
        <f t="shared" si="82"/>
        <v>37000000</v>
      </c>
      <c r="AN391" s="20"/>
    </row>
    <row r="392" spans="16:45">
      <c r="Q392" s="97" t="s">
        <v>5611</v>
      </c>
      <c r="R392" s="93">
        <v>50725508.571864001</v>
      </c>
      <c r="AH392" s="147">
        <v>126</v>
      </c>
      <c r="AI392" s="147" t="s">
        <v>5296</v>
      </c>
      <c r="AJ392" s="186">
        <v>200000</v>
      </c>
      <c r="AK392" s="147">
        <v>1</v>
      </c>
      <c r="AL392" s="147">
        <f t="shared" si="81"/>
        <v>185</v>
      </c>
      <c r="AM392" s="147">
        <f t="shared" si="82"/>
        <v>37000000</v>
      </c>
      <c r="AN392" s="147"/>
    </row>
    <row r="393" spans="16:45">
      <c r="Q393" s="97" t="s">
        <v>5613</v>
      </c>
      <c r="R393" s="93">
        <v>2281961.458596</v>
      </c>
      <c r="AH393" s="20">
        <v>127</v>
      </c>
      <c r="AI393" s="20" t="s">
        <v>5300</v>
      </c>
      <c r="AJ393" s="115">
        <v>50000</v>
      </c>
      <c r="AK393" s="20">
        <v>4</v>
      </c>
      <c r="AL393" s="20">
        <f t="shared" si="81"/>
        <v>184</v>
      </c>
      <c r="AM393" s="20">
        <f t="shared" si="82"/>
        <v>9200000</v>
      </c>
      <c r="AN393" s="20"/>
      <c r="AR393" t="s">
        <v>25</v>
      </c>
    </row>
    <row r="394" spans="16:45">
      <c r="Q394" s="97" t="s">
        <v>5622</v>
      </c>
      <c r="R394" s="93">
        <v>10998285</v>
      </c>
      <c r="T394" s="115"/>
      <c r="V394" s="112">
        <f>(444000000+2500000)*2/3</f>
        <v>297666666.66666669</v>
      </c>
      <c r="AH394" s="20">
        <v>128</v>
      </c>
      <c r="AI394" s="20" t="s">
        <v>5303</v>
      </c>
      <c r="AJ394" s="115">
        <v>100000</v>
      </c>
      <c r="AK394" s="20">
        <v>9</v>
      </c>
      <c r="AL394" s="20">
        <f t="shared" ref="AL394:AL404" si="83">AK394+AL395</f>
        <v>180</v>
      </c>
      <c r="AM394" s="20">
        <f t="shared" ref="AM394:AM404" si="84">AJ394*AL394</f>
        <v>18000000</v>
      </c>
      <c r="AN394" s="20"/>
    </row>
    <row r="395" spans="16:45">
      <c r="Q395" s="97" t="s">
        <v>5623</v>
      </c>
      <c r="R395" s="93">
        <v>983018.96187300002</v>
      </c>
      <c r="AH395" s="20">
        <v>129</v>
      </c>
      <c r="AI395" s="20" t="s">
        <v>5321</v>
      </c>
      <c r="AJ395" s="115">
        <v>-550000</v>
      </c>
      <c r="AK395" s="20">
        <v>5</v>
      </c>
      <c r="AL395" s="20">
        <f t="shared" si="83"/>
        <v>171</v>
      </c>
      <c r="AM395" s="20">
        <f t="shared" si="84"/>
        <v>-94050000</v>
      </c>
      <c r="AN395" s="20"/>
    </row>
    <row r="396" spans="16:45">
      <c r="Q396" s="97" t="s">
        <v>5627</v>
      </c>
      <c r="R396" s="93">
        <v>17049271.032000002</v>
      </c>
      <c r="T396" s="112">
        <f>W314+W315+W317+W318+W320+W321</f>
        <v>-301699041.74755996</v>
      </c>
      <c r="AH396" s="20">
        <v>130</v>
      </c>
      <c r="AI396" s="20" t="s">
        <v>5326</v>
      </c>
      <c r="AJ396" s="115">
        <v>-29686490</v>
      </c>
      <c r="AK396" s="20">
        <v>1</v>
      </c>
      <c r="AL396" s="20">
        <f t="shared" si="83"/>
        <v>166</v>
      </c>
      <c r="AM396" s="20">
        <f t="shared" si="84"/>
        <v>-4927957340</v>
      </c>
      <c r="AN396" s="20"/>
    </row>
    <row r="397" spans="16:45">
      <c r="Q397" s="97" t="s">
        <v>5632</v>
      </c>
      <c r="R397" s="93">
        <v>6829998</v>
      </c>
      <c r="T397" t="s">
        <v>25</v>
      </c>
      <c r="AH397" s="20">
        <v>131</v>
      </c>
      <c r="AI397" s="20" t="s">
        <v>5336</v>
      </c>
      <c r="AJ397" s="115">
        <v>-9000000</v>
      </c>
      <c r="AK397" s="20">
        <v>8</v>
      </c>
      <c r="AL397" s="20">
        <f t="shared" si="83"/>
        <v>165</v>
      </c>
      <c r="AM397" s="20">
        <f t="shared" si="84"/>
        <v>-1485000000</v>
      </c>
      <c r="AN397" s="20"/>
    </row>
    <row r="398" spans="16:45">
      <c r="Q398" s="97" t="s">
        <v>4214</v>
      </c>
      <c r="R398" s="93">
        <v>6982608.8207999999</v>
      </c>
      <c r="T398" s="112">
        <f>V394+T396</f>
        <v>-4032375.0808932781</v>
      </c>
      <c r="AH398" s="20">
        <v>132</v>
      </c>
      <c r="AI398" s="20" t="s">
        <v>5381</v>
      </c>
      <c r="AJ398" s="115">
        <v>810000</v>
      </c>
      <c r="AK398" s="20">
        <v>2</v>
      </c>
      <c r="AL398" s="20">
        <f t="shared" si="83"/>
        <v>157</v>
      </c>
      <c r="AM398" s="20">
        <f t="shared" si="84"/>
        <v>127170000</v>
      </c>
      <c r="AN398" s="20"/>
    </row>
    <row r="399" spans="16:45">
      <c r="Q399" s="97" t="s">
        <v>5658</v>
      </c>
      <c r="R399" s="93">
        <v>7510131.0216000006</v>
      </c>
      <c r="T399" t="s">
        <v>25</v>
      </c>
      <c r="AH399" s="20">
        <v>133</v>
      </c>
      <c r="AI399" s="20" t="s">
        <v>5386</v>
      </c>
      <c r="AJ399" s="115">
        <v>-5000000</v>
      </c>
      <c r="AK399" s="20">
        <v>3</v>
      </c>
      <c r="AL399" s="20">
        <f t="shared" si="83"/>
        <v>155</v>
      </c>
      <c r="AM399" s="20">
        <f t="shared" si="84"/>
        <v>-775000000</v>
      </c>
      <c r="AN399" s="20"/>
    </row>
    <row r="400" spans="16:45">
      <c r="Q400" s="97" t="s">
        <v>5666</v>
      </c>
      <c r="R400" s="93">
        <v>7278025.5327000003</v>
      </c>
      <c r="T400" t="s">
        <v>25</v>
      </c>
      <c r="AH400" s="20">
        <v>134</v>
      </c>
      <c r="AI400" s="20" t="s">
        <v>5394</v>
      </c>
      <c r="AJ400" s="115">
        <v>-26000000</v>
      </c>
      <c r="AK400" s="20">
        <v>0</v>
      </c>
      <c r="AL400" s="20">
        <f t="shared" si="83"/>
        <v>152</v>
      </c>
      <c r="AM400" s="20">
        <f t="shared" si="84"/>
        <v>-3952000000</v>
      </c>
      <c r="AN400" s="20"/>
    </row>
    <row r="401" spans="17:45">
      <c r="Q401" s="97" t="s">
        <v>5675</v>
      </c>
      <c r="R401" s="93">
        <v>195059.35799999998</v>
      </c>
      <c r="AD401" t="s">
        <v>25</v>
      </c>
      <c r="AH401" s="252">
        <v>135</v>
      </c>
      <c r="AI401" s="252" t="s">
        <v>5394</v>
      </c>
      <c r="AJ401" s="243">
        <v>-26000000</v>
      </c>
      <c r="AK401" s="252">
        <v>1</v>
      </c>
      <c r="AL401" s="252">
        <f t="shared" si="83"/>
        <v>152</v>
      </c>
      <c r="AM401" s="252">
        <f t="shared" si="84"/>
        <v>-3952000000</v>
      </c>
      <c r="AN401" s="252"/>
    </row>
    <row r="402" spans="17:45">
      <c r="Q402" s="97" t="s">
        <v>5680</v>
      </c>
      <c r="R402" s="93">
        <v>862577.83200000005</v>
      </c>
      <c r="AH402" s="20">
        <v>136</v>
      </c>
      <c r="AI402" s="20" t="s">
        <v>5399</v>
      </c>
      <c r="AJ402" s="115">
        <v>-81800000</v>
      </c>
      <c r="AK402" s="20">
        <v>0</v>
      </c>
      <c r="AL402" s="20">
        <f t="shared" si="83"/>
        <v>151</v>
      </c>
      <c r="AM402" s="20">
        <f t="shared" si="84"/>
        <v>-12351800000</v>
      </c>
      <c r="AN402" s="20"/>
      <c r="AS402" t="s">
        <v>25</v>
      </c>
    </row>
    <row r="403" spans="17:45">
      <c r="Q403" s="97" t="s">
        <v>5683</v>
      </c>
      <c r="R403" s="93">
        <v>920308.446</v>
      </c>
      <c r="T403" t="s">
        <v>25</v>
      </c>
      <c r="AH403" s="252">
        <v>137</v>
      </c>
      <c r="AI403" s="252" t="s">
        <v>5399</v>
      </c>
      <c r="AJ403" s="243">
        <v>-110000000</v>
      </c>
      <c r="AK403" s="252">
        <v>1</v>
      </c>
      <c r="AL403" s="252">
        <f t="shared" si="83"/>
        <v>151</v>
      </c>
      <c r="AM403" s="252">
        <f t="shared" si="84"/>
        <v>-16610000000</v>
      </c>
      <c r="AN403" s="252"/>
    </row>
    <row r="404" spans="17:45">
      <c r="Q404" s="97" t="s">
        <v>5685</v>
      </c>
      <c r="R404" s="93">
        <v>4635809.8416840006</v>
      </c>
      <c r="S404" t="s">
        <v>25</v>
      </c>
      <c r="T404" t="s">
        <v>25</v>
      </c>
      <c r="AH404" s="20">
        <v>138</v>
      </c>
      <c r="AI404" s="20" t="s">
        <v>5400</v>
      </c>
      <c r="AJ404" s="115">
        <v>-34000000</v>
      </c>
      <c r="AK404" s="20">
        <v>0</v>
      </c>
      <c r="AL404" s="20">
        <f t="shared" si="83"/>
        <v>150</v>
      </c>
      <c r="AM404" s="20">
        <f t="shared" si="84"/>
        <v>-5100000000</v>
      </c>
      <c r="AN404" s="20"/>
    </row>
    <row r="405" spans="17:45">
      <c r="Q405" s="97" t="s">
        <v>5693</v>
      </c>
      <c r="R405" s="93">
        <v>288892.40000000002</v>
      </c>
      <c r="U405" s="94" t="s">
        <v>25</v>
      </c>
      <c r="W405" s="94" t="s">
        <v>25</v>
      </c>
      <c r="AH405" s="147">
        <v>139</v>
      </c>
      <c r="AI405" s="147" t="s">
        <v>5400</v>
      </c>
      <c r="AJ405" s="186">
        <v>-23900000</v>
      </c>
      <c r="AK405" s="147">
        <v>5</v>
      </c>
      <c r="AL405" s="147">
        <f t="shared" ref="AL405:AL410" si="85">AK405+AL406</f>
        <v>150</v>
      </c>
      <c r="AM405" s="147">
        <f t="shared" ref="AM405:AM410" si="86">AJ405*AL405</f>
        <v>-3585000000</v>
      </c>
      <c r="AN405" s="147"/>
    </row>
    <row r="406" spans="17:45">
      <c r="Q406" s="97"/>
      <c r="R406" s="93"/>
      <c r="T406" t="s">
        <v>25</v>
      </c>
      <c r="X406" t="s">
        <v>25</v>
      </c>
      <c r="AH406" s="20">
        <v>140</v>
      </c>
      <c r="AI406" s="20" t="s">
        <v>5415</v>
      </c>
      <c r="AJ406" s="115">
        <v>1000000</v>
      </c>
      <c r="AK406" s="20">
        <v>0</v>
      </c>
      <c r="AL406" s="20">
        <f t="shared" si="85"/>
        <v>145</v>
      </c>
      <c r="AM406" s="20">
        <f t="shared" si="86"/>
        <v>145000000</v>
      </c>
      <c r="AN406" s="20"/>
    </row>
    <row r="407" spans="17:45">
      <c r="Q407" s="97"/>
      <c r="R407" s="97" t="s">
        <v>25</v>
      </c>
      <c r="T407" t="s">
        <v>25</v>
      </c>
      <c r="AH407" s="147">
        <v>141</v>
      </c>
      <c r="AI407" s="147" t="s">
        <v>5415</v>
      </c>
      <c r="AJ407" s="186">
        <v>1000000</v>
      </c>
      <c r="AK407" s="147">
        <v>4</v>
      </c>
      <c r="AL407" s="147">
        <f t="shared" si="85"/>
        <v>145</v>
      </c>
      <c r="AM407" s="147">
        <f t="shared" si="86"/>
        <v>145000000</v>
      </c>
      <c r="AN407" s="147"/>
    </row>
    <row r="408" spans="17:45">
      <c r="Q408" s="97"/>
      <c r="R408" s="93">
        <f>SUM(R287:R407)</f>
        <v>870792606.78165293</v>
      </c>
      <c r="T408" t="s">
        <v>25</v>
      </c>
      <c r="AH408" s="20">
        <v>142</v>
      </c>
      <c r="AI408" s="20" t="s">
        <v>5421</v>
      </c>
      <c r="AJ408" s="115">
        <v>400000</v>
      </c>
      <c r="AK408" s="20">
        <v>0</v>
      </c>
      <c r="AL408" s="20">
        <f t="shared" si="85"/>
        <v>141</v>
      </c>
      <c r="AM408" s="20">
        <f t="shared" si="86"/>
        <v>56400000</v>
      </c>
      <c r="AN408" s="20"/>
    </row>
    <row r="409" spans="17:45">
      <c r="Q409" s="97"/>
      <c r="R409" s="97" t="s">
        <v>6</v>
      </c>
      <c r="T409" t="s">
        <v>25</v>
      </c>
      <c r="U409" s="94" t="s">
        <v>25</v>
      </c>
      <c r="V409" t="s">
        <v>25</v>
      </c>
      <c r="AH409" s="147">
        <v>143</v>
      </c>
      <c r="AI409" s="147" t="s">
        <v>5421</v>
      </c>
      <c r="AJ409" s="186">
        <v>400000</v>
      </c>
      <c r="AK409" s="147">
        <v>35</v>
      </c>
      <c r="AL409" s="147">
        <f t="shared" si="85"/>
        <v>141</v>
      </c>
      <c r="AM409" s="147">
        <f t="shared" si="86"/>
        <v>56400000</v>
      </c>
      <c r="AN409" s="147"/>
    </row>
    <row r="410" spans="17:45">
      <c r="T410" t="s">
        <v>25</v>
      </c>
      <c r="V410" t="s">
        <v>25</v>
      </c>
      <c r="AH410" s="20">
        <v>144</v>
      </c>
      <c r="AI410" s="20" t="s">
        <v>5466</v>
      </c>
      <c r="AJ410" s="115">
        <v>3000000</v>
      </c>
      <c r="AK410" s="20">
        <v>0</v>
      </c>
      <c r="AL410" s="20">
        <f t="shared" si="85"/>
        <v>106</v>
      </c>
      <c r="AM410" s="20">
        <f t="shared" si="86"/>
        <v>318000000</v>
      </c>
      <c r="AN410" s="20"/>
    </row>
    <row r="411" spans="17:45">
      <c r="T411" t="s">
        <v>25</v>
      </c>
      <c r="U411" s="94" t="s">
        <v>25</v>
      </c>
      <c r="AH411" s="147">
        <v>145</v>
      </c>
      <c r="AI411" s="147" t="s">
        <v>5466</v>
      </c>
      <c r="AJ411" s="186">
        <v>2725000</v>
      </c>
      <c r="AK411" s="147">
        <v>19</v>
      </c>
      <c r="AL411" s="147">
        <f t="shared" ref="AL411:AL414" si="87">AK411+AL412</f>
        <v>106</v>
      </c>
      <c r="AM411" s="147">
        <f t="shared" ref="AM411:AM414" si="88">AJ411*AL411</f>
        <v>288850000</v>
      </c>
      <c r="AN411" s="147"/>
    </row>
    <row r="412" spans="17:45">
      <c r="Q412" t="s">
        <v>25</v>
      </c>
      <c r="T412" t="s">
        <v>25</v>
      </c>
      <c r="U412" s="94" t="s">
        <v>25</v>
      </c>
      <c r="V412" t="s">
        <v>25</v>
      </c>
      <c r="AH412" s="147">
        <v>146</v>
      </c>
      <c r="AI412" s="147" t="s">
        <v>5347</v>
      </c>
      <c r="AJ412" s="186">
        <v>-8644090</v>
      </c>
      <c r="AK412" s="147">
        <v>0</v>
      </c>
      <c r="AL412" s="147">
        <f t="shared" si="87"/>
        <v>87</v>
      </c>
      <c r="AM412" s="147">
        <f t="shared" si="88"/>
        <v>-752035830</v>
      </c>
      <c r="AN412" s="147" t="s">
        <v>4753</v>
      </c>
    </row>
    <row r="413" spans="17:45">
      <c r="T413" t="s">
        <v>25</v>
      </c>
      <c r="U413" s="94" t="s">
        <v>25</v>
      </c>
      <c r="AH413" s="20">
        <v>147</v>
      </c>
      <c r="AI413" s="20" t="s">
        <v>5347</v>
      </c>
      <c r="AJ413" s="115">
        <v>-65461942</v>
      </c>
      <c r="AK413" s="20">
        <v>1</v>
      </c>
      <c r="AL413" s="20">
        <f t="shared" si="87"/>
        <v>87</v>
      </c>
      <c r="AM413" s="20">
        <f t="shared" si="88"/>
        <v>-5695188954</v>
      </c>
      <c r="AN413" s="20" t="s">
        <v>4753</v>
      </c>
      <c r="AR413" t="s">
        <v>25</v>
      </c>
    </row>
    <row r="414" spans="17:45">
      <c r="R414" t="s">
        <v>25</v>
      </c>
      <c r="T414" t="s">
        <v>25</v>
      </c>
      <c r="U414" s="94" t="s">
        <v>25</v>
      </c>
      <c r="AH414" s="20">
        <v>148</v>
      </c>
      <c r="AI414" s="20" t="s">
        <v>5499</v>
      </c>
      <c r="AJ414" s="115">
        <v>35000000</v>
      </c>
      <c r="AK414" s="20">
        <v>15</v>
      </c>
      <c r="AL414" s="20">
        <f t="shared" si="87"/>
        <v>86</v>
      </c>
      <c r="AM414" s="20">
        <f t="shared" si="88"/>
        <v>3010000000</v>
      </c>
      <c r="AN414" s="20"/>
    </row>
    <row r="415" spans="17:45">
      <c r="R415" t="s">
        <v>25</v>
      </c>
      <c r="T415" t="s">
        <v>25</v>
      </c>
      <c r="V415" t="s">
        <v>25</v>
      </c>
      <c r="AH415" s="147">
        <v>149</v>
      </c>
      <c r="AI415" s="147" t="s">
        <v>5525</v>
      </c>
      <c r="AJ415" s="186">
        <v>1400000</v>
      </c>
      <c r="AK415" s="147">
        <v>0</v>
      </c>
      <c r="AL415" s="147">
        <f t="shared" ref="AL415:AL417" si="89">AK415+AL416</f>
        <v>71</v>
      </c>
      <c r="AM415" s="147">
        <f t="shared" ref="AM415:AM418" si="90">AJ415*AL415</f>
        <v>99400000</v>
      </c>
      <c r="AN415" s="147"/>
      <c r="AS415" t="s">
        <v>25</v>
      </c>
    </row>
    <row r="416" spans="17:45">
      <c r="T416" t="s">
        <v>25</v>
      </c>
      <c r="U416" s="94" t="s">
        <v>25</v>
      </c>
      <c r="AH416" s="20">
        <v>150</v>
      </c>
      <c r="AI416" s="20" t="s">
        <v>5525</v>
      </c>
      <c r="AJ416" s="115">
        <v>1600000</v>
      </c>
      <c r="AK416" s="20">
        <v>1</v>
      </c>
      <c r="AL416" s="20">
        <f t="shared" si="89"/>
        <v>71</v>
      </c>
      <c r="AM416" s="20">
        <f t="shared" si="90"/>
        <v>113600000</v>
      </c>
      <c r="AN416" s="20"/>
    </row>
    <row r="417" spans="18:45">
      <c r="R417" t="s">
        <v>25</v>
      </c>
      <c r="AH417" s="147">
        <v>151</v>
      </c>
      <c r="AI417" s="147" t="s">
        <v>5528</v>
      </c>
      <c r="AJ417" s="186">
        <v>600000</v>
      </c>
      <c r="AK417" s="147">
        <v>0</v>
      </c>
      <c r="AL417" s="147">
        <f t="shared" si="89"/>
        <v>70</v>
      </c>
      <c r="AM417" s="147">
        <f t="shared" si="90"/>
        <v>42000000</v>
      </c>
      <c r="AN417" s="147" t="s">
        <v>5530</v>
      </c>
      <c r="AR417" t="s">
        <v>25</v>
      </c>
      <c r="AS417" t="s">
        <v>25</v>
      </c>
    </row>
    <row r="418" spans="18:45">
      <c r="T418" t="s">
        <v>25</v>
      </c>
      <c r="U418" s="94" t="s">
        <v>25</v>
      </c>
      <c r="AH418" s="20">
        <v>152</v>
      </c>
      <c r="AI418" s="20" t="s">
        <v>5528</v>
      </c>
      <c r="AJ418" s="115">
        <v>600000</v>
      </c>
      <c r="AK418" s="20">
        <v>9</v>
      </c>
      <c r="AL418" s="20">
        <f>AK418+AL419</f>
        <v>70</v>
      </c>
      <c r="AM418" s="20">
        <f t="shared" si="90"/>
        <v>42000000</v>
      </c>
      <c r="AN418" s="20" t="s">
        <v>5530</v>
      </c>
    </row>
    <row r="419" spans="18:45">
      <c r="AH419" s="20">
        <v>153</v>
      </c>
      <c r="AI419" s="20" t="s">
        <v>5547</v>
      </c>
      <c r="AJ419" s="115">
        <v>20000000</v>
      </c>
      <c r="AK419" s="20">
        <v>23</v>
      </c>
      <c r="AL419" s="20">
        <f t="shared" ref="AL419:AL420" si="91">AK419+AL420</f>
        <v>61</v>
      </c>
      <c r="AM419" s="20">
        <f t="shared" ref="AM419:AM421" si="92">AJ419*AL419</f>
        <v>1220000000</v>
      </c>
      <c r="AN419" s="20" t="s">
        <v>5570</v>
      </c>
    </row>
    <row r="420" spans="18:45">
      <c r="AH420" s="20">
        <v>154</v>
      </c>
      <c r="AI420" s="20" t="s">
        <v>5598</v>
      </c>
      <c r="AJ420" s="115">
        <v>-46183500</v>
      </c>
      <c r="AK420" s="20">
        <v>0</v>
      </c>
      <c r="AL420" s="20">
        <f t="shared" si="91"/>
        <v>38</v>
      </c>
      <c r="AM420" s="20">
        <f t="shared" si="92"/>
        <v>-1754973000</v>
      </c>
      <c r="AN420" s="20" t="s">
        <v>4882</v>
      </c>
      <c r="AR420" t="s">
        <v>25</v>
      </c>
    </row>
    <row r="421" spans="18:45">
      <c r="AH421" s="147">
        <v>155</v>
      </c>
      <c r="AI421" s="147" t="s">
        <v>5598</v>
      </c>
      <c r="AJ421" s="186">
        <v>-1812800</v>
      </c>
      <c r="AK421" s="147">
        <v>2</v>
      </c>
      <c r="AL421" s="147">
        <f>AK421+AL422</f>
        <v>38</v>
      </c>
      <c r="AM421" s="147">
        <f t="shared" si="92"/>
        <v>-68886400</v>
      </c>
      <c r="AN421" s="147" t="s">
        <v>4882</v>
      </c>
    </row>
    <row r="422" spans="18:45">
      <c r="AH422" s="20">
        <v>156</v>
      </c>
      <c r="AI422" s="20" t="s">
        <v>5602</v>
      </c>
      <c r="AJ422" s="115">
        <v>90000</v>
      </c>
      <c r="AK422" s="20">
        <v>0</v>
      </c>
      <c r="AL422" s="20">
        <f t="shared" ref="AL422:AL441" si="93">AK422+AL423</f>
        <v>36</v>
      </c>
      <c r="AM422" s="20">
        <f t="shared" ref="AM422:AM441" si="94">AJ422*AL422</f>
        <v>3240000</v>
      </c>
      <c r="AN422" s="20"/>
    </row>
    <row r="423" spans="18:45">
      <c r="AH423" s="147">
        <v>157</v>
      </c>
      <c r="AI423" s="147" t="s">
        <v>5602</v>
      </c>
      <c r="AJ423" s="186">
        <v>60000</v>
      </c>
      <c r="AK423" s="147">
        <v>5</v>
      </c>
      <c r="AL423" s="147">
        <f t="shared" si="93"/>
        <v>36</v>
      </c>
      <c r="AM423" s="147">
        <f t="shared" si="94"/>
        <v>2160000</v>
      </c>
      <c r="AN423" s="147"/>
    </row>
    <row r="424" spans="18:45">
      <c r="AH424" s="20">
        <v>158</v>
      </c>
      <c r="AI424" s="20" t="s">
        <v>5613</v>
      </c>
      <c r="AJ424" s="115">
        <v>50000000</v>
      </c>
      <c r="AK424" s="20">
        <v>29</v>
      </c>
      <c r="AL424" s="20">
        <f t="shared" si="93"/>
        <v>31</v>
      </c>
      <c r="AM424" s="20">
        <f t="shared" si="94"/>
        <v>1550000000</v>
      </c>
      <c r="AN424" s="20" t="s">
        <v>5615</v>
      </c>
    </row>
    <row r="425" spans="18:45">
      <c r="AH425" s="20">
        <v>159</v>
      </c>
      <c r="AI425" s="20" t="s">
        <v>5693</v>
      </c>
      <c r="AJ425" s="115">
        <v>100000</v>
      </c>
      <c r="AK425" s="20">
        <v>1</v>
      </c>
      <c r="AL425" s="20">
        <f t="shared" si="93"/>
        <v>2</v>
      </c>
      <c r="AM425" s="20">
        <f t="shared" si="94"/>
        <v>200000</v>
      </c>
      <c r="AN425" s="20"/>
    </row>
    <row r="426" spans="18:45">
      <c r="AH426" s="147">
        <v>160</v>
      </c>
      <c r="AI426" s="147" t="s">
        <v>5674</v>
      </c>
      <c r="AJ426" s="186">
        <v>150000</v>
      </c>
      <c r="AK426" s="147">
        <v>0</v>
      </c>
      <c r="AL426" s="147">
        <f t="shared" si="93"/>
        <v>1</v>
      </c>
      <c r="AM426" s="147">
        <f t="shared" si="94"/>
        <v>150000</v>
      </c>
      <c r="AN426" s="147"/>
    </row>
    <row r="427" spans="18:45">
      <c r="AH427" s="20">
        <v>161</v>
      </c>
      <c r="AI427" s="20" t="s">
        <v>5674</v>
      </c>
      <c r="AJ427" s="115">
        <v>-683050</v>
      </c>
      <c r="AK427" s="20">
        <v>1</v>
      </c>
      <c r="AL427" s="20">
        <f t="shared" si="93"/>
        <v>1</v>
      </c>
      <c r="AM427" s="20">
        <f t="shared" si="94"/>
        <v>-683050</v>
      </c>
      <c r="AN427" s="20" t="s">
        <v>5699</v>
      </c>
    </row>
    <row r="428" spans="18:45">
      <c r="AH428" s="20"/>
      <c r="AI428" s="20"/>
      <c r="AJ428" s="115"/>
      <c r="AK428" s="20"/>
      <c r="AL428" s="20">
        <f t="shared" si="93"/>
        <v>0</v>
      </c>
      <c r="AM428" s="20">
        <f t="shared" si="94"/>
        <v>0</v>
      </c>
      <c r="AN428" s="20"/>
    </row>
    <row r="429" spans="18:45">
      <c r="AH429" s="20"/>
      <c r="AI429" s="20"/>
      <c r="AJ429" s="115"/>
      <c r="AK429" s="20"/>
      <c r="AL429" s="20">
        <f t="shared" si="93"/>
        <v>0</v>
      </c>
      <c r="AM429" s="20">
        <f t="shared" si="94"/>
        <v>0</v>
      </c>
      <c r="AN429" s="20"/>
    </row>
    <row r="430" spans="18:45">
      <c r="AH430" s="20"/>
      <c r="AI430" s="20"/>
      <c r="AJ430" s="115"/>
      <c r="AK430" s="20"/>
      <c r="AL430" s="20">
        <f t="shared" si="93"/>
        <v>0</v>
      </c>
      <c r="AM430" s="20">
        <f t="shared" si="94"/>
        <v>0</v>
      </c>
      <c r="AN430" s="20"/>
    </row>
    <row r="431" spans="18:45">
      <c r="AH431" s="20"/>
      <c r="AI431" s="20"/>
      <c r="AJ431" s="115"/>
      <c r="AK431" s="20"/>
      <c r="AL431" s="20">
        <f t="shared" si="93"/>
        <v>0</v>
      </c>
      <c r="AM431" s="20">
        <f t="shared" si="94"/>
        <v>0</v>
      </c>
      <c r="AN431" s="20"/>
    </row>
    <row r="432" spans="18:45">
      <c r="AH432" s="20"/>
      <c r="AI432" s="20"/>
      <c r="AJ432" s="115"/>
      <c r="AK432" s="20"/>
      <c r="AL432" s="20">
        <f t="shared" si="93"/>
        <v>0</v>
      </c>
      <c r="AM432" s="20">
        <f t="shared" si="94"/>
        <v>0</v>
      </c>
      <c r="AN432" s="20"/>
    </row>
    <row r="433" spans="34:40">
      <c r="AH433" s="20"/>
      <c r="AI433" s="20"/>
      <c r="AJ433" s="115"/>
      <c r="AK433" s="20"/>
      <c r="AL433" s="20">
        <f t="shared" si="93"/>
        <v>0</v>
      </c>
      <c r="AM433" s="20">
        <f t="shared" si="94"/>
        <v>0</v>
      </c>
      <c r="AN433" s="20"/>
    </row>
    <row r="434" spans="34:40">
      <c r="AH434" s="20"/>
      <c r="AI434" s="20"/>
      <c r="AJ434" s="115"/>
      <c r="AK434" s="20"/>
      <c r="AL434" s="20">
        <f t="shared" si="93"/>
        <v>0</v>
      </c>
      <c r="AM434" s="20">
        <f t="shared" si="94"/>
        <v>0</v>
      </c>
      <c r="AN434" s="20"/>
    </row>
    <row r="435" spans="34:40">
      <c r="AH435" s="20"/>
      <c r="AI435" s="20"/>
      <c r="AJ435" s="115"/>
      <c r="AK435" s="20"/>
      <c r="AL435" s="20">
        <f t="shared" si="93"/>
        <v>0</v>
      </c>
      <c r="AM435" s="20">
        <f t="shared" si="94"/>
        <v>0</v>
      </c>
      <c r="AN435" s="20"/>
    </row>
    <row r="436" spans="34:40">
      <c r="AH436" s="20"/>
      <c r="AI436" s="20"/>
      <c r="AJ436" s="115"/>
      <c r="AK436" s="20"/>
      <c r="AL436" s="20">
        <f t="shared" si="93"/>
        <v>0</v>
      </c>
      <c r="AM436" s="20">
        <f t="shared" si="94"/>
        <v>0</v>
      </c>
      <c r="AN436" s="20"/>
    </row>
    <row r="437" spans="34:40">
      <c r="AH437" s="20"/>
      <c r="AI437" s="20"/>
      <c r="AJ437" s="115"/>
      <c r="AK437" s="20"/>
      <c r="AL437" s="20">
        <f t="shared" si="93"/>
        <v>0</v>
      </c>
      <c r="AM437" s="20">
        <f t="shared" si="94"/>
        <v>0</v>
      </c>
      <c r="AN437" s="20"/>
    </row>
    <row r="438" spans="34:40">
      <c r="AH438" s="20"/>
      <c r="AI438" s="20"/>
      <c r="AJ438" s="115"/>
      <c r="AK438" s="20"/>
      <c r="AL438" s="20">
        <f t="shared" si="93"/>
        <v>0</v>
      </c>
      <c r="AM438" s="20">
        <f t="shared" si="94"/>
        <v>0</v>
      </c>
      <c r="AN438" s="20"/>
    </row>
    <row r="439" spans="34:40">
      <c r="AH439" s="20"/>
      <c r="AI439" s="20"/>
      <c r="AJ439" s="115"/>
      <c r="AK439" s="20"/>
      <c r="AL439" s="20">
        <f t="shared" si="93"/>
        <v>0</v>
      </c>
      <c r="AM439" s="20">
        <f t="shared" si="94"/>
        <v>0</v>
      </c>
      <c r="AN439" s="20"/>
    </row>
    <row r="440" spans="34:40">
      <c r="AH440" s="97"/>
      <c r="AI440" s="97"/>
      <c r="AJ440" s="115"/>
      <c r="AK440" s="97"/>
      <c r="AL440" s="20">
        <f t="shared" si="93"/>
        <v>0</v>
      </c>
      <c r="AM440" s="20">
        <f t="shared" si="94"/>
        <v>0</v>
      </c>
      <c r="AN440" s="20"/>
    </row>
    <row r="441" spans="34:40">
      <c r="AH441" s="97"/>
      <c r="AI441" s="97"/>
      <c r="AJ441" s="115"/>
      <c r="AK441" s="97"/>
      <c r="AL441" s="20">
        <f t="shared" si="93"/>
        <v>0</v>
      </c>
      <c r="AM441" s="20">
        <f t="shared" si="94"/>
        <v>0</v>
      </c>
      <c r="AN441" s="97"/>
    </row>
    <row r="442" spans="34:40">
      <c r="AH442" s="97"/>
      <c r="AI442" s="97"/>
      <c r="AJ442" s="93">
        <f>SUM(AJ267:AJ441)</f>
        <v>159830355</v>
      </c>
      <c r="AK442" s="97"/>
      <c r="AL442" s="97"/>
      <c r="AM442" s="97">
        <f>SUM(AM267:AM441)</f>
        <v>178065894279</v>
      </c>
      <c r="AN442" s="93">
        <f>AM442*AN253/31</f>
        <v>95736266.449938491</v>
      </c>
    </row>
    <row r="443" spans="34:40">
      <c r="AJ443" t="s">
        <v>4043</v>
      </c>
      <c r="AM443" t="s">
        <v>284</v>
      </c>
      <c r="AN443" t="s">
        <v>928</v>
      </c>
    </row>
    <row r="445" spans="34:40">
      <c r="AI445" t="s">
        <v>4045</v>
      </c>
      <c r="AJ445" s="112">
        <f>AJ442+AN442</f>
        <v>255566621.44993848</v>
      </c>
    </row>
    <row r="446" spans="34:40">
      <c r="AI446" t="s">
        <v>4048</v>
      </c>
      <c r="AJ446" s="112">
        <f>SUM(N20:N31)</f>
        <v>4356966858.1999998</v>
      </c>
    </row>
    <row r="447" spans="34:40">
      <c r="AI447" t="s">
        <v>4120</v>
      </c>
      <c r="AJ447" s="112">
        <f>AJ446-AJ442</f>
        <v>4197136503.1999998</v>
      </c>
    </row>
    <row r="448" spans="34:40">
      <c r="AI448" t="s">
        <v>928</v>
      </c>
      <c r="AJ448" s="112">
        <f>AN442</f>
        <v>95736266.449938491</v>
      </c>
    </row>
    <row r="449" spans="35:40">
      <c r="AI449" t="s">
        <v>4049</v>
      </c>
      <c r="AJ449" s="112">
        <f>AJ447-AJ448</f>
        <v>4101400236.7500615</v>
      </c>
      <c r="AM449" t="s">
        <v>25</v>
      </c>
      <c r="AN449" t="s">
        <v>25</v>
      </c>
    </row>
    <row r="450" spans="35:40">
      <c r="AL450" t="s">
        <v>25</v>
      </c>
      <c r="AM450" t="s">
        <v>25</v>
      </c>
      <c r="AN450" t="s">
        <v>25</v>
      </c>
    </row>
    <row r="453" spans="35:40">
      <c r="AN453" t="s">
        <v>25</v>
      </c>
    </row>
    <row r="454" spans="35: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39:G146 G103:G112 G171 G181:G183 G258:G1048576 G199:G220 G247:G253 G137 G152:G154 G158:G164 G129:G134">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9">
    <cfRule type="cellIs" dxfId="4" priority="1" operator="lessThan">
      <formula>0</formula>
    </cfRule>
  </conditionalFormatting>
  <pageMargins left="0.7" right="0.7" top="0.75" bottom="0.75" header="0.3" footer="0.3"/>
  <pageSetup orientation="portrait" r:id="rId1"/>
  <ignoredErrors>
    <ignoredError sqref="N10" formulaRange="1"/>
    <ignoredError sqref="S22 G124 P30 S106 P24 S38 S40 S115 S43 S122 S126 S128 S131:S132 S51:S53 P28 S84 S58:S59"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2020-08-04T09:26:59Z</dcterms:modified>
</cp:coreProperties>
</file>