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L45" i="18" l="1"/>
  <c r="K104" i="63" l="1"/>
  <c r="J7" i="60"/>
  <c r="G101" i="63"/>
  <c r="H101" i="63"/>
  <c r="I101" i="63"/>
  <c r="G100" i="63"/>
  <c r="H100" i="63"/>
  <c r="I100" i="63"/>
  <c r="G99" i="63"/>
  <c r="H99" i="63"/>
  <c r="I99" i="63"/>
  <c r="G98" i="63"/>
  <c r="H98" i="63"/>
  <c r="I98" i="63"/>
  <c r="W437" i="18" l="1"/>
  <c r="R160" i="18" l="1"/>
  <c r="R159" i="18"/>
  <c r="R158" i="18"/>
  <c r="G110" i="63"/>
  <c r="H110" i="63"/>
  <c r="I110" i="63"/>
  <c r="K99" i="63"/>
  <c r="G97" i="63"/>
  <c r="H97" i="63"/>
  <c r="I97" i="63"/>
  <c r="K98" i="63" l="1"/>
  <c r="W436" i="18" l="1"/>
  <c r="G95" i="63" l="1"/>
  <c r="H95" i="63"/>
  <c r="I95" i="63"/>
  <c r="G96" i="63"/>
  <c r="H96" i="63"/>
  <c r="I96" i="63"/>
  <c r="G103" i="63"/>
  <c r="H103" i="63"/>
  <c r="K103" i="63" s="1"/>
  <c r="I103" i="63"/>
  <c r="K96" i="63" l="1"/>
  <c r="K97" i="63"/>
  <c r="F29" i="60"/>
  <c r="G29" i="60" s="1"/>
  <c r="P102" i="60" l="1"/>
  <c r="G125" i="63"/>
  <c r="H125" i="63"/>
  <c r="I125" i="63"/>
  <c r="G126" i="63"/>
  <c r="H126" i="63"/>
  <c r="I126" i="63"/>
  <c r="G127" i="63"/>
  <c r="H127" i="63"/>
  <c r="I127" i="63"/>
  <c r="G130" i="63"/>
  <c r="H130" i="63"/>
  <c r="I130" i="63"/>
  <c r="G131" i="63"/>
  <c r="H131" i="63"/>
  <c r="I131" i="63"/>
  <c r="F132" i="63"/>
  <c r="C132" i="63"/>
  <c r="G124" i="63"/>
  <c r="H124" i="63"/>
  <c r="I124" i="63"/>
  <c r="G123" i="63"/>
  <c r="I123" i="63"/>
  <c r="H123" i="63"/>
  <c r="W435" i="18"/>
  <c r="K131" i="63" l="1"/>
  <c r="K127" i="63"/>
  <c r="K125" i="63"/>
  <c r="K130" i="63"/>
  <c r="K126" i="63"/>
  <c r="K124" i="63"/>
  <c r="H132" i="63"/>
  <c r="K132" i="63" s="1"/>
  <c r="I132" i="63"/>
  <c r="G132" i="63"/>
  <c r="J154" i="18"/>
  <c r="F104" i="63"/>
  <c r="C104" i="63"/>
  <c r="L132" i="63" l="1"/>
  <c r="W434" i="18"/>
  <c r="J43" i="18"/>
  <c r="J44" i="18" s="1"/>
  <c r="P41" i="18"/>
  <c r="G107" i="63"/>
  <c r="H107" i="63"/>
  <c r="I107" i="63"/>
  <c r="G108" i="63"/>
  <c r="H108" i="63"/>
  <c r="I108" i="63"/>
  <c r="G109" i="63"/>
  <c r="H109" i="63"/>
  <c r="I109" i="63"/>
  <c r="G112" i="63"/>
  <c r="H112" i="63"/>
  <c r="I112" i="63"/>
  <c r="G113" i="63"/>
  <c r="H113" i="63"/>
  <c r="I113" i="63"/>
  <c r="F114" i="63"/>
  <c r="C114" i="63"/>
  <c r="G88" i="63"/>
  <c r="H88" i="63"/>
  <c r="I88" i="63"/>
  <c r="G89" i="63"/>
  <c r="H89" i="63"/>
  <c r="I89" i="63"/>
  <c r="G90" i="63"/>
  <c r="H90" i="63"/>
  <c r="I90" i="63"/>
  <c r="G91" i="63"/>
  <c r="H91" i="63"/>
  <c r="I91" i="63"/>
  <c r="S96" i="18"/>
  <c r="K113" i="63" l="1"/>
  <c r="K108" i="63"/>
  <c r="K89" i="63"/>
  <c r="K112" i="63"/>
  <c r="K109"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AM447" i="18" l="1"/>
  <c r="AL446" i="18"/>
  <c r="R480" i="18"/>
  <c r="W426" i="18"/>
  <c r="W425" i="18"/>
  <c r="W424" i="18"/>
  <c r="W423" i="18"/>
  <c r="W422" i="18"/>
  <c r="W421" i="18"/>
  <c r="J468" i="52"/>
  <c r="O468" i="52"/>
  <c r="AL445" i="18" l="1"/>
  <c r="AM446" i="18"/>
  <c r="G106" i="63"/>
  <c r="H106" i="63"/>
  <c r="K107" i="63" s="1"/>
  <c r="I106"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4" i="63" l="1"/>
  <c r="H104" i="63"/>
  <c r="L104" i="63" l="1"/>
  <c r="B135" i="63"/>
  <c r="G119" i="18"/>
  <c r="J119" i="18" s="1"/>
  <c r="G118" i="18"/>
  <c r="J118" i="18" s="1"/>
  <c r="I122" i="18" l="1"/>
  <c r="W412" i="18"/>
  <c r="W411" i="18"/>
  <c r="U441" i="18"/>
  <c r="W410" i="18" l="1"/>
  <c r="W409" i="18"/>
  <c r="W408" i="18" l="1"/>
  <c r="G118"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H87" i="63"/>
  <c r="I87" i="63"/>
  <c r="K88" i="63" l="1"/>
  <c r="W396" i="18"/>
  <c r="W395" i="18" l="1"/>
  <c r="W394" i="18" l="1"/>
  <c r="G119"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8" i="63" l="1"/>
  <c r="I119" i="63" s="1"/>
  <c r="W356" i="18" l="1"/>
  <c r="V460" i="18"/>
  <c r="S229" i="18" l="1"/>
  <c r="G117"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4"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14" i="63" l="1"/>
  <c r="G114" i="63"/>
  <c r="AM421" i="18"/>
  <c r="AL420" i="18"/>
  <c r="H114" i="63"/>
  <c r="K114" i="63" s="1"/>
  <c r="L114"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D9" i="60" s="1"/>
  <c r="F3" i="60"/>
  <c r="F4" i="60"/>
  <c r="F5" i="60"/>
  <c r="F6" i="60"/>
  <c r="AL361" i="18" l="1"/>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70" i="18"/>
  <c r="S71" i="18" s="1"/>
  <c r="S72" i="18" s="1"/>
  <c r="R153" i="18"/>
  <c r="R151" i="18"/>
  <c r="D57" i="51"/>
  <c r="AL117" i="18" l="1"/>
  <c r="AM118" i="18"/>
  <c r="S73" i="18"/>
  <c r="S74" i="18" s="1"/>
  <c r="AM117" i="18" l="1"/>
  <c r="AL116" i="18"/>
  <c r="S75" i="18"/>
  <c r="S76" i="18" s="1"/>
  <c r="N28" i="18"/>
  <c r="Q87"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1" i="18"/>
  <c r="V62" i="18" l="1"/>
  <c r="W62" i="18"/>
  <c r="X62" i="18"/>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86" i="18"/>
  <c r="W13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80" i="18" l="1"/>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4" i="18"/>
  <c r="G302" i="20"/>
  <c r="K303" i="20"/>
  <c r="I303" i="20"/>
  <c r="J303" i="20"/>
  <c r="X26" i="18"/>
  <c r="W75" i="18"/>
  <c r="X75" i="18"/>
  <c r="W25" i="18"/>
  <c r="X25" i="18"/>
  <c r="X24" i="18"/>
  <c r="W74" i="18"/>
  <c r="X74" i="18"/>
  <c r="W23" i="18"/>
  <c r="W73" i="18"/>
  <c r="X73" i="18"/>
  <c r="W72" i="18"/>
  <c r="X72" i="18"/>
  <c r="N31" i="18"/>
  <c r="W132" i="18"/>
  <c r="W141" i="18" s="1"/>
  <c r="X71" i="18"/>
  <c r="W71" i="18"/>
  <c r="W22" i="18"/>
  <c r="X22" i="18"/>
  <c r="W20" i="18"/>
  <c r="X20" i="18"/>
  <c r="W95" i="18"/>
  <c r="X95"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W116" i="18"/>
  <c r="X115" i="18"/>
  <c r="W115" i="18"/>
  <c r="W114" i="18"/>
  <c r="X114" i="18"/>
  <c r="G26" i="20"/>
  <c r="J27" i="20"/>
  <c r="K27" i="20"/>
  <c r="I27" i="20"/>
  <c r="F21" i="15"/>
  <c r="V117" i="18" l="1"/>
  <c r="X117" i="18" s="1"/>
  <c r="S118" i="18"/>
  <c r="G25" i="20"/>
  <c r="J26" i="20"/>
  <c r="K26" i="20"/>
  <c r="I26" i="20"/>
  <c r="F20" i="15"/>
  <c r="W117" i="18" l="1"/>
  <c r="V118" i="18"/>
  <c r="S119" i="18"/>
  <c r="S120" i="18" s="1"/>
  <c r="V120" i="18" s="1"/>
  <c r="G24" i="20"/>
  <c r="K25" i="20"/>
  <c r="J25" i="20"/>
  <c r="I25" i="20"/>
  <c r="F19" i="15"/>
  <c r="W120" i="18" l="1"/>
  <c r="X120" i="18"/>
  <c r="V119" i="18"/>
  <c r="W119" i="18" s="1"/>
  <c r="W118" i="18"/>
  <c r="X118" i="18"/>
  <c r="X119" i="18"/>
  <c r="G23" i="20"/>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<sst xmlns="http://schemas.openxmlformats.org/spreadsheetml/2006/main" count="14700" uniqueCount="5874">
  <si>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</si>
  <si>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</si>
  <si>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</si>
  <si>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</si>
  <si>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</si>
  <si>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</si>
  <si>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</si>
  <si>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</si>
  <si>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</si>
  <si>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</si>
  <si>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</si>
  <si>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</si>
  <si>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</si>
  <si>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</si>
  <si>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</si>
  <si>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</si>
  <si>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</si>
  <si>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</si>
  <si>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</si>
  <si>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</si>
  <si>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</si>
  <si>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</si>
  <si>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</si>
  <si>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</si>
  <si>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</si>
  <si>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</si>
  <si>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</si>
  <si>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</si>
  <si>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</si>
  <si>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</si>
  <si>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</si>
  <si>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</si>
  <si>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</si>
  <si>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</si>
  <si>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</si>
  <si>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</si>
  <si>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</si>
  <si>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</si>
  <si>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</si>
  <si>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</si>
  <si>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</si>
  <si>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</si>
  <si>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</si>
  <si>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</si>
  <si>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</si>
  <si>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</si>
  <si>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</si>
  <si>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</si>
  <si>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</si>
  <si>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</si>
  <si>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</si>
  <si>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</si>
  <si>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</si>
  <si>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</si>
  <si>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</si>
  <si>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</si>
  <si>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</si>
  <si>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</si>
  <si>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</si>
  <si>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</si>
  <si>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</si>
  <si>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</si>
  <si>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</si>
  <si>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</si>
  <si>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</si>
  <si>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</si>
  <si>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</si>
  <si>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</si>
  <si>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</si>
  <si>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</si>
  <si>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</si>
  <si>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</si>
  <si>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</si>
  <si>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</si>
  <si>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</si>
  <si>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</si>
  <si>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</si>
  <si>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</si>
  <si>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</si>
  <si>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</si>
  <si>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</si>
  <si>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</si>
  <si>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</si>
  <si>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</si>
  <si>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</si>
  <si>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</si>
  <si>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</si>
  <si>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</si>
  <si>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</si>
  <si>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</si>
  <si>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</si>
  <si>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</si>
  <si>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</si>
  <si>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</si>
  <si>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</si>
  <si>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</si>
  <si>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</si>
  <si>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</si>
  <si>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</si>
  <si>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</si>
  <si>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</si>
  <si>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</si>
  <si>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</si>
  <si>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</si>
  <si>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</si>
  <si>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</si>
  <si>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</si>
  <si>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</si>
  <si>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</si>
  <si>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</si>
  <si>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</si>
  <si>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</si>
  <si>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</si>
  <si>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</si>
  <si>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</si>
  <si>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</si>
  <si>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</si>
  <si>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</si>
  <si>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</si>
  <si>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</si>
  <si>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</si>
  <si>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</si>
  <si>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</si>
  <si>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</si>
  <si>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</si>
  <si>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</si>
  <si>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</si>
  <si>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</si>
  <si>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</si>
  <si>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</si>
  <si>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</si>
  <si>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</si>
  <si>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</si>
  <si>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</si>
  <si>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</si>
  <si>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</si>
  <si>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</si>
  <si>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</si>
  <si>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</si>
  <si>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</si>
  <si>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</si>
  <si>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</si>
  <si>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</si>
  <si>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</si>
  <si>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</si>
  <si>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</si>
  <si>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</si>
  <si>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</si>
  <si>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</si>
  <si>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</si>
  <si>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</si>
  <si>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</si>
  <si>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</si>
  <si>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</si>
  <si>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</si>
  <si>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</si>
  <si>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</si>
  <si>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</si>
  <si>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</si>
  <si>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</si>
  <si>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</si>
  <si>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</si>
  <si>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</si>
  <si>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</si>
  <si>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</si>
  <si>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</si>
  <si>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</si>
  <si>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</si>
  <si>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</si>
  <si>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</si>
  <si>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</si>
  <si>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</si>
  <si>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</si>
  <si>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</si>
  <si>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</si>
  <si>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</si>
  <si>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</si>
  <si>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</si>
  <si>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</si>
  <si>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</si>
  <si>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</si>
  <si>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</si>
  <si>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</si>
  <si>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</si>
  <si>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</si>
  <si>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</si>
  <si>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</si>
  <si>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</si>
  <si>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</si>
  <si>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</si>
  <si>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</si>
  <si>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</si>
  <si>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</si>
  <si>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</si>
  <si>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</si>
  <si>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</si>
  <si>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</si>
  <si>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</si>
  <si>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</si>
  <si>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</si>
  <si>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</si>
  <si>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</si>
  <si>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</si>
  <si>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</si>
  <si>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</si>
  <si>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</si>
  <si>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</si>
  <si>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</si>
  <si>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</si>
  <si>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</si>
  <si>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</si>
  <si>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</si>
  <si>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</si>
  <si>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</si>
  <si>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</si>
  <si>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</si>
  <si>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</si>
  <si>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</si>
  <si>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</si>
  <si>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</si>
  <si>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</si>
  <si>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</si>
  <si>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</si>
  <si>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</si>
  <si>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</si>
  <si>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</si>
  <si>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</si>
  <si>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</si>
  <si>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</si>
  <si>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</si>
  <si>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</si>
  <si>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</si>
  <si>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</si>
  <si>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</si>
  <si>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</si>
  <si>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</si>
  <si>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</si>
  <si>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</si>
  <si>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</si>
  <si>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</si>
  <si>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</si>
  <si>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</si>
  <si>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</si>
  <si>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</si>
  <si>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</si>
  <si>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</si>
  <si>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</si>
  <si>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</si>
  <si>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</si>
  <si>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</si>
  <si>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</si>
  <si>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</si>
  <si>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</si>
  <si>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</si>
  <si>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</si>
  <si>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</si>
  <si>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</si>
  <si>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</si>
  <si>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</si>
  <si>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</si>
  <si>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</si>
  <si>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</si>
  <si>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</si>
  <si>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</si>
  <si>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</si>
  <si>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</si>
  <si>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</si>
  <si>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</si>
  <si>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</si>
  <si>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</si>
  <si>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</si>
  <si>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</si>
  <si>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</si>
  <si>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</si>
  <si>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</si>
  <si>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</si>
  <si>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</si>
  <si>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</si>
  <si>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</si>
  <si>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</si>
  <si>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</si>
  <si>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</si>
  <si>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</si>
  <si>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</si>
  <si>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</si>
  <si>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</si>
  <si>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</si>
  <si>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</si>
  <si>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</si>
  <si>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</si>
  <si>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</si>
  <si>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</si>
  <si>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</si>
  <si>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</si>
  <si>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</si>
  <si>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</si>
  <si>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</si>
  <si>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</si>
  <si>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</si>
  <si>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</si>
  <si>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</si>
  <si>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</si>
  <si>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</si>
  <si>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</si>
  <si>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</si>
  <si>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</si>
  <si>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</si>
  <si>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</si>
  <si>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</si>
  <si>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</si>
  <si>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</si>
  <si>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</si>
  <si>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</si>
  <si>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</si>
  <si>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</si>
  <si>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</si>
  <si>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</si>
  <si>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</si>
  <si>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</si>
  <si>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</si>
  <si>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</si>
  <si>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</si>
  <si>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</si>
  <si>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</si>
  <si>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</si>
  <si>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</si>
  <si>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</si>
  <si>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</si>
  <si>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</si>
  <si>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</si>
  <si>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</si>
  <si>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</si>
  <si>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</si>
  <si>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</si>
  <si>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</si>
  <si>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</si>
  <si>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</si>
  <si>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</si>
  <si>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</si>
  <si>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</si>
  <si>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</si>
  <si>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</si>
  <si>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</si>
  <si>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</si>
  <si>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</si>
  <si>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</si>
  <si>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</si>
  <si>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</si>
  <si>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</si>
  <si>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</si>
  <si>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</si>
  <si>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</si>
  <si>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</si>
  <si>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</si>
  <si>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</si>
  <si>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</si>
  <si>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</si>
  <si>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</si>
  <si>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</si>
  <si>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</si>
  <si>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</si>
  <si>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</si>
  <si>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</si>
  <si>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</si>
  <si>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</si>
  <si>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</si>
  <si>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</si>
  <si>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</si>
  <si>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</si>
  <si>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</si>
  <si>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</si>
  <si>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</si>
  <si>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</si>
  <si>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</si>
  <si>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</si>
  <si>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</si>
  <si>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</si>
  <si>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</si>
  <si>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</si>
  <si>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</si>
  <si>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</si>
  <si>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</si>
  <si>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</si>
  <si>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</si>
  <si>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</si>
  <si>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</si>
  <si>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</si>
  <si>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</si>
  <si>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</si>
  <si>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</si>
  <si>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</si>
  <si>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</si>
  <si>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</si>
  <si>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</si>
  <si>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</si>
  <si>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</si>
  <si>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</si>
  <si>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</si>
  <si>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</si>
  <si>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</si>
  <si>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</si>
  <si>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</si>
  <si>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</si>
  <si>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</si>
  <si>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</si>
  <si>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</si>
  <si>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</si>
  <si>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</si>
  <si>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</si>
  <si>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</si>
  <si>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</si>
  <si>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</si>
  <si>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</si>
  <si>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</si>
  <si>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</si>
  <si>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</si>
  <si>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</si>
  <si>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</si>
  <si>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</si>
  <si>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</si>
  <si>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</si>
  <si>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</si>
  <si>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</si>
  <si>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</si>
  <si>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</si>
  <si>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</si>
  <si>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</si>
  <si>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</si>
  <si>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</si>
  <si>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</si>
  <si>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</si>
  <si>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</si>
  <si>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</si>
  <si>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</si>
  <si>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</si>
  <si>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</si>
  <si>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</si>
  <si>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</si>
  <si>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</si>
  <si>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</si>
  <si>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</si>
  <si>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</si>
  <si>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</si>
  <si>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</si>
  <si>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</si>
  <si>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</si>
  <si>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</si>
  <si>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</si>
  <si>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</si>
  <si>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</si>
  <si>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</si>
  <si>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</si>
  <si>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</si>
  <si>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</si>
  <si>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</si>
  <si>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</si>
  <si>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</si>
  <si>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</si>
  <si>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</si>
  <si>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</si>
  <si>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</si>
  <si>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</si>
  <si>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</si>
  <si>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</si>
  <si>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</si>
  <si>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</si>
  <si>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</si>
  <si>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</si>
  <si>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</si>
  <si>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</si>
  <si>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</si>
  <si>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</si>
  <si>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</si>
  <si>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</si>
  <si>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</si>
  <si>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</si>
  <si>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</si>
  <si>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</si>
  <si>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</si>
  <si>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</si>
  <si>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</si>
  <si>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</si>
  <si>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</si>
  <si>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</si>
  <si>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</si>
  <si>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</si>
  <si>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</si>
  <si>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</si>
  <si>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</si>
  <si>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</si>
  <si>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</si>
  <si>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</si>
  <si>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</si>
  <si>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</si>
  <si>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</si>
  <si>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</si>
  <si>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</si>
  <si>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</si>
  <si>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</si>
  <si>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</si>
  <si>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</si>
  <si>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</si>
  <si>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</si>
  <si>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</si>
  <si>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</si>
  <si>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</si>
  <si>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</si>
  <si>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</si>
  <si>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</si>
  <si>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</si>
  <si>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</si>
  <si>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</si>
  <si>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</si>
  <si>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</si>
  <si>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</si>
  <si>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</si>
  <si>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</si>
  <si>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</si>
  <si>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</si>
  <si>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</si>
  <si>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</si>
  <si>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</si>
  <si>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</si>
  <si>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</si>
  <si>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</si>
  <si>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</si>
  <si>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</si>
  <si>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</si>
  <si>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</si>
  <si>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</si>
  <si>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</si>
  <si>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</si>
  <si>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</si>
  <si>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</si>
  <si>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</si>
  <si>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</si>
  <si>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</si>
  <si>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</si>
  <si>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</si>
  <si>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</si>
  <si>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</si>
  <si>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</si>
  <si>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</si>
  <si>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</si>
  <si>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</si>
  <si>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</si>
  <si>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</si>
  <si>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</si>
  <si>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</si>
  <si>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</si>
  <si>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</si>
  <si>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</si>
  <si>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</si>
  <si>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</si>
  <si>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</si>
  <si>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</si>
  <si>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</si>
  <si>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</si>
  <si>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</si>
  <si>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</si>
  <si>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</si>
  <si>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</si>
  <si>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</si>
  <si>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</si>
  <si>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</si>
  <si>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</si>
  <si>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</si>
  <si>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</si>
  <si>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</si>
  <si>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</si>
  <si>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</si>
  <si>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</si>
  <si>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</si>
  <si>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</si>
  <si>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</si>
  <si>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</si>
  <si>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</si>
  <si>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</si>
  <si>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</si>
  <si>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</si>
  <si>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</si>
  <si>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</si>
  <si>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</si>
  <si>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</si>
  <si>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</si>
  <si>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</si>
  <si>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</si>
  <si>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</si>
  <si>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</si>
  <si>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</si>
  <si>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</si>
  <si>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</si>
  <si>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</si>
  <si>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</si>
  <si>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</si>
  <si>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</si>
  <si>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</si>
  <si>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</si>
  <si>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</si>
  <si>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</si>
  <si>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</si>
  <si>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</si>
  <si>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</si>
  <si>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</si>
  <si>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</si>
  <si>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</si>
  <si>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</si>
  <si>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</si>
  <si>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</si>
  <si>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</si>
  <si>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</si>
  <si>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</si>
  <si>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</si>
  <si>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</si>
  <si>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</si>
  <si>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</si>
  <si>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</si>
  <si>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</si>
  <si>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</si>
  <si>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</si>
  <si>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</si>
  <si>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</si>
  <si>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</si>
  <si>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</si>
  <si>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</si>
  <si>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</si>
  <si>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</si>
  <si>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</si>
  <si>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</si>
  <si>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</si>
  <si>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</si>
  <si>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</si>
  <si>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</si>
  <si>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</si>
  <si>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</si>
  <si>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</si>
  <si>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</si>
  <si>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</si>
  <si>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</si>
  <si>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</si>
  <si>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</si>
  <si>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</si>
  <si>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</si>
  <si>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</si>
  <si>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</si>
  <si>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</si>
  <si>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</si>
  <si>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</si>
  <si>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</si>
  <si>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</si>
  <si>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</si>
  <si>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</si>
  <si>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</si>
  <si>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</si>
  <si>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</si>
  <si>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</si>
  <si>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</si>
  <si>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</si>
  <si>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</si>
  <si>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</si>
  <si>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</si>
  <si>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</si>
  <si>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</si>
  <si>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</si>
  <si>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</si>
  <si>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</si>
  <si>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</si>
  <si>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</si>
  <si>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</si>
  <si>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</si>
  <si>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</si>
  <si>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</si>
  <si>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</si>
  <si>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</si>
  <si>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</si>
  <si>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</si>
  <si>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</si>
  <si>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</si>
  <si>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</si>
  <si>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</si>
  <si>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</si>
  <si>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</si>
  <si>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</si>
  <si>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</si>
  <si>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</si>
  <si>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</si>
  <si>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</si>
  <si>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</si>
  <si>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</si>
  <si>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</si>
  <si>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</si>
  <si>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</si>
  <si>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</si>
  <si>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</si>
  <si>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</si>
  <si>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</si>
  <si>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</si>
  <si>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</si>
  <si>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</si>
  <si>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</si>
  <si>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</si>
  <si>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</si>
  <si>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</si>
  <si>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</si>
  <si>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</si>
  <si>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</si>
  <si>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</si>
  <si>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</si>
  <si>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</si>
  <si>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</si>
  <si>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</si>
  <si>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</si>
  <si>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</si>
  <si>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</si>
  <si>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</si>
  <si>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</si>
  <si>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</si>
  <si>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</si>
  <si>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</si>
  <si>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</si>
  <si>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</si>
  <si>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</si>
  <si>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</si>
  <si>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</si>
  <si>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</si>
  <si>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</si>
  <si>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</si>
  <si>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</si>
  <si>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</si>
  <si>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</si>
  <si>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</si>
  <si>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</si>
  <si>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</si>
  <si>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</si>
  <si>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</si>
  <si>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</si>
  <si>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</si>
  <si>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</si>
  <si>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</si>
  <si>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</si>
  <si>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</si>
  <si>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</si>
  <si>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</si>
  <si>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</si>
  <si>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</si>
  <si>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</si>
  <si>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</si>
  <si>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</si>
  <si>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</si>
  <si>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</si>
  <si>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</si>
  <si>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</si>
  <si>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</si>
  <si>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</si>
  <si>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</si>
  <si>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</si>
  <si>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</si>
  <si>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</si>
  <si>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</si>
  <si>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</si>
  <si>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</si>
  <si>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</si>
  <si>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</si>
  <si>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</si>
  <si>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</si>
  <si>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</si>
  <si>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</si>
  <si>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</si>
  <si>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</si>
  <si>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</si>
  <si>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</si>
  <si>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</si>
  <si>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</si>
  <si>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</si>
  <si>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</si>
  <si>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</si>
  <si>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</si>
  <si>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</si>
  <si>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</si>
  <si>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</si>
  <si>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</si>
  <si>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</si>
  <si>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</si>
  <si>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</si>
  <si>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</si>
  <si>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</si>
  <si>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</si>
  <si>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</si>
  <si>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</si>
  <si>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</si>
  <si>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</si>
  <si>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</si>
  <si>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</si>
  <si>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</si>
  <si>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</si>
  <si>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</si>
  <si>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</si>
  <si>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</si>
  <si>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</si>
  <si>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</si>
  <si>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</si>
  <si>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</si>
  <si>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</si>
  <si>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</si>
  <si>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</si>
  <si>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</si>
  <si>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</si>
  <si>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</si>
  <si>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</si>
  <si>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</si>
  <si>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</si>
  <si>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</si>
  <si>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</si>
  <si>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</si>
  <si>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</si>
  <si>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</si>
  <si>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</si>
  <si>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</si>
  <si>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</si>
  <si>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</si>
  <si>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</si>
  <si>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</si>
  <si>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</si>
  <si>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</si>
  <si>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</si>
  <si>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</si>
  <si>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</si>
  <si>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</si>
  <si>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</si>
  <si>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</si>
  <si>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</si>
  <si>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</si>
  <si>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</si>
  <si>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</si>
  <si>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</si>
  <si>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</si>
  <si>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</si>
  <si>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</si>
  <si>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</si>
  <si>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</si>
  <si>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</si>
  <si>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</si>
  <si>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</si>
  <si>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</si>
  <si>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</si>
  <si>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</si>
  <si>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</si>
  <si>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</si>
  <si>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</si>
  <si>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</si>
  <si>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</si>
  <si>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</si>
  <si>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</si>
  <si>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</si>
  <si>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</si>
  <si>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</si>
  <si>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</si>
  <si>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</si>
  <si>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</si>
  <si>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</si>
  <si>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</si>
  <si>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</si>
  <si>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</si>
  <si>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</si>
  <si>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</si>
  <si>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</si>
  <si>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</si>
  <si>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</si>
  <si>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</si>
  <si>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</si>
  <si>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</si>
  <si>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</si>
  <si>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</si>
  <si>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</si>
  <si>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</si>
  <si>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</si>
  <si>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</si>
  <si>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</si>
  <si>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</si>
  <si>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</si>
  <si>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</si>
  <si>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</si>
  <si>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</si>
  <si>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</si>
  <si>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</si>
  <si>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</si>
  <si>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</si>
  <si>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</si>
  <si>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</si>
  <si>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</si>
  <si>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</si>
  <si>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</si>
  <si>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</si>
  <si>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</si>
  <si>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</si>
  <si>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</si>
  <si>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</si>
  <si>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</si>
  <si>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</si>
  <si>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</si>
  <si>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</si>
  <si>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</si>
  <si>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</si>
  <si>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</si>
  <si>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</si>
  <si>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</si>
  <si>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</si>
  <si>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</si>
  <si>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</si>
  <si>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</si>
  <si>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</si>
  <si>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</si>
  <si>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</si>
  <si>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</si>
  <si>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</si>
  <si>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</si>
  <si>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</si>
  <si>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</si>
  <si>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</si>
  <si>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</si>
  <si>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</si>
  <si>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</si>
  <si>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</si>
  <si>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</si>
  <si>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</si>
  <si>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</si>
  <si>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</si>
  <si>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</si>
  <si>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</si>
  <si>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</si>
  <si>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</si>
  <si>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</si>
  <si>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</si>
  <si>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</si>
  <si>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</si>
  <si>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</si>
  <si>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</si>
  <si>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</si>
  <si>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</si>
  <si>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</si>
  <si>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</si>
  <si>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</si>
  <si>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</si>
  <si>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</si>
  <si>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</si>
  <si>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</si>
  <si>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</si>
  <si>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</si>
  <si>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</si>
  <si>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</si>
  <si>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</si>
  <si>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</si>
  <si>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</si>
  <si>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</si>
  <si>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</si>
  <si>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</si>
  <si>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</si>
  <si>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</si>
  <si>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</si>
  <si>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</si>
  <si>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</si>
  <si>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</si>
  <si>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</si>
  <si>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</si>
  <si>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</si>
  <si>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</si>
  <si>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</si>
  <si>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</si>
  <si>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</si>
  <si>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</si>
  <si>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</si>
  <si>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</si>
  <si>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</si>
  <si>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</si>
  <si>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</si>
  <si>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</si>
  <si>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</si>
  <si>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</si>
  <si>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</si>
  <si>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</si>
  <si>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</si>
  <si>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</si>
  <si>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</si>
  <si>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</si>
  <si>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</si>
  <si>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</si>
  <si>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</si>
  <si>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</si>
  <si>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</si>
  <si>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</si>
  <si>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</si>
  <si>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</si>
  <si>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</si>
  <si>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</si>
  <si>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</si>
  <si>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</si>
  <si>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</si>
  <si>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</si>
  <si>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</si>
  <si>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</si>
  <si>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</si>
  <si>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</si>
  <si>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</si>
  <si>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</si>
  <si>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</si>
  <si>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</si>
  <si>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</si>
  <si>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</si>
  <si>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</si>
  <si>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</si>
  <si>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</si>
  <si>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</si>
  <si>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</si>
  <si>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</si>
  <si>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</si>
  <si>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</si>
  <si>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</si>
  <si>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</si>
  <si>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</si>
  <si>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</si>
  <si>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</si>
  <si>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</si>
  <si>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</si>
  <si>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</si>
  <si>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</si>
  <si>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</si>
  <si>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</si>
  <si>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</si>
  <si>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</si>
  <si>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</si>
  <si>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</si>
  <si>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</si>
  <si>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</si>
  <si>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</si>
  <si>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</si>
  <si>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</si>
  <si>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</si>
  <si>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</si>
  <si>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</si>
  <si>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</si>
  <si>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</si>
  <si>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</si>
  <si>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</si>
  <si>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</si>
  <si>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</si>
  <si>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</si>
  <si>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</si>
  <si>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</si>
  <si>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</si>
  <si>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</si>
  <si>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</si>
  <si>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</si>
  <si>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</si>
  <si>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</si>
  <si>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</si>
  <si>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</si>
  <si>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</si>
  <si>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</si>
  <si>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</si>
  <si>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</si>
  <si>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</si>
  <si>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</si>
  <si>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</si>
  <si>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</si>
  <si>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</si>
  <si>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</si>
  <si>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</si>
  <si>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</si>
  <si>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</si>
  <si>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</si>
  <si>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</si>
  <si>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</si>
  <si>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</si>
  <si>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</si>
  <si>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</si>
  <si>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</si>
  <si>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</si>
  <si>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</si>
  <si>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</si>
  <si>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</si>
  <si>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</si>
  <si>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</si>
  <si>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</si>
  <si>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</si>
  <si>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</si>
  <si>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</si>
  <si>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</si>
  <si>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</si>
  <si>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</si>
  <si>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</si>
  <si>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</si>
  <si>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</si>
  <si>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</si>
  <si>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</si>
  <si>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</si>
  <si>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</si>
  <si>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</si>
  <si>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</si>
  <si>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</si>
  <si>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</si>
  <si>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</si>
  <si>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</si>
  <si>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</si>
  <si>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</si>
  <si>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</si>
  <si>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</si>
  <si>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</si>
  <si>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</si>
  <si>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</si>
  <si>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</si>
  <si>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</si>
  <si>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</si>
  <si>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</si>
  <si>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</si>
  <si>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</si>
  <si>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</si>
  <si>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</si>
  <si>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</si>
  <si>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</si>
  <si>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</si>
  <si>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</si>
  <si>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</si>
  <si>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</si>
  <si>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</si>
  <si>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</si>
  <si>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</si>
  <si>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</si>
  <si>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</si>
  <si>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</si>
  <si>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</si>
  <si>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</si>
  <si>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</si>
  <si>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</si>
  <si>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</si>
  <si>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</si>
  <si>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</si>
  <si>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</si>
  <si>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</si>
  <si>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</si>
  <si>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</si>
  <si>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</si>
  <si>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</si>
  <si>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</si>
  <si>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</si>
  <si>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</si>
  <si>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</si>
  <si>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</si>
  <si>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</si>
  <si>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</si>
  <si>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</si>
  <si>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</si>
  <si>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</si>
  <si>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</si>
  <si>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</si>
  <si>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</si>
  <si>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</si>
  <si>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</si>
  <si>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</si>
  <si>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</si>
  <si>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</si>
  <si>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</si>
  <si>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</si>
  <si>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</si>
  <si>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</si>
  <si>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</si>
  <si>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</si>
  <si>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</si>
  <si>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</si>
  <si>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</si>
  <si>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</si>
  <si>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</si>
  <si>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</si>
  <si>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</si>
  <si>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</si>
  <si>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</si>
  <si>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</si>
  <si>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</si>
  <si>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</si>
  <si>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</si>
  <si>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</si>
  <si>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</si>
  <si>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</si>
  <si>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</si>
  <si>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</si>
  <si>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</si>
  <si>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</si>
  <si>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</si>
  <si>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</si>
  <si>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</si>
  <si>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</si>
  <si>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</si>
  <si>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</si>
  <si>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</si>
  <si>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</si>
  <si>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</si>
  <si>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</si>
  <si>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</si>
  <si>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</si>
  <si>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</si>
  <si>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</si>
  <si>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</si>
  <si>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</si>
  <si>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</si>
  <si>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</si>
  <si>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</si>
  <si>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</si>
  <si>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</si>
  <si>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</si>
  <si>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</si>
  <si>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</si>
  <si>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</si>
  <si>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</si>
  <si>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</si>
  <si>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</si>
  <si>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</si>
  <si>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</si>
  <si>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</si>
  <si>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</si>
  <si>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</si>
  <si>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</si>
  <si>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</si>
  <si>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</si>
  <si>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</si>
  <si>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</si>
  <si>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</si>
  <si>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</si>
  <si>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</si>
  <si>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</si>
  <si>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</si>
  <si>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</si>
  <si>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</si>
  <si>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</si>
  <si>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</si>
  <si>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</si>
  <si>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</si>
  <si>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</si>
  <si>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</si>
  <si>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</si>
  <si>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</si>
  <si>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</si>
  <si>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</si>
  <si>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</si>
  <si>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</si>
  <si>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</si>
  <si>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</si>
  <si>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</si>
  <si>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</si>
  <si>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</si>
  <si>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</si>
  <si>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</si>
  <si>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</si>
  <si>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</si>
  <si>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</si>
  <si>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</si>
  <si>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</si>
  <si>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</si>
  <si>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</si>
  <si>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</si>
  <si>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</si>
  <si>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</si>
  <si>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</si>
  <si>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</si>
  <si>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</si>
  <si>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</si>
  <si>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</si>
  <si>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</si>
  <si>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</si>
  <si>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</si>
  <si>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</si>
  <si>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</si>
  <si>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</si>
  <si>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</si>
  <si>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</si>
  <si>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</si>
  <si>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</si>
  <si>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</si>
  <si>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</si>
  <si>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</si>
  <si>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</si>
  <si>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</si>
  <si>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</si>
  <si>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</si>
  <si>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</si>
  <si>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</si>
  <si>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</si>
  <si>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</si>
  <si>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</si>
  <si>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</si>
  <si>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</si>
  <si>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</si>
  <si>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</si>
  <si>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</si>
  <si>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</si>
  <si>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</si>
  <si>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</si>
  <si>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</si>
  <si>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</si>
  <si>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</si>
  <si>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</si>
  <si>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</si>
  <si>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</si>
  <si>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</si>
  <si>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</si>
  <si>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</si>
  <si>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</si>
  <si>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</si>
  <si>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</si>
  <si>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</si>
  <si>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</si>
  <si>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</si>
  <si>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</si>
  <si>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</si>
  <si>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</si>
  <si>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</si>
  <si>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</si>
  <si>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</si>
  <si>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</si>
  <si>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</si>
  <si>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</si>
  <si>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</si>
  <si>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</si>
  <si>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</si>
  <si>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</si>
  <si>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</si>
  <si>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</si>
  <si>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</si>
  <si>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</si>
  <si>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</si>
  <si>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</si>
  <si>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</si>
  <si>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</si>
  <si>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</si>
  <si>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</si>
  <si>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</si>
  <si>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</si>
  <si>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</si>
  <si>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</si>
  <si>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</si>
  <si>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</si>
  <si>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</si>
  <si>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</si>
  <si>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</si>
  <si>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</si>
  <si>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</si>
  <si>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</si>
  <si>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</si>
  <si>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</si>
  <si>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</si>
  <si>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</si>
  <si>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</si>
  <si>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</si>
  <si>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</si>
  <si>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</si>
  <si>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</si>
  <si>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</si>
  <si>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</si>
  <si>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</si>
  <si>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</si>
  <si>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</si>
  <si>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</si>
  <si>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</si>
  <si>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</si>
  <si>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</si>
  <si>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</si>
  <si>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</si>
  <si>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</si>
  <si>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</si>
  <si>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</si>
  <si>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</si>
  <si>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</si>
  <si>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</si>
  <si>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</si>
  <si>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</si>
  <si>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</si>
  <si>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</si>
  <si>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</si>
  <si>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</si>
  <si>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</si>
  <si>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</si>
  <si>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</si>
  <si>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</si>
  <si>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</si>
  <si>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</si>
  <si>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</si>
  <si>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</si>
  <si>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</si>
  <si>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</si>
  <si>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</si>
  <si>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</si>
  <si>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</si>
  <si>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</si>
  <si>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</si>
  <si>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</si>
  <si>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</si>
  <si>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</si>
  <si>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</si>
  <si>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</si>
  <si>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</si>
  <si>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</si>
  <si>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</si>
  <si>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</si>
  <si>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</si>
  <si>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</si>
  <si>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</si>
  <si>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</si>
  <si>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</si>
  <si>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</si>
  <si>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</si>
  <si>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</si>
  <si>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</si>
  <si>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</si>
  <si>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</si>
  <si>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</si>
  <si>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</si>
  <si>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</si>
  <si>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</si>
  <si>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</si>
  <si>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</si>
  <si>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</si>
  <si>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</si>
  <si>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</si>
  <si>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</si>
  <si>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</si>
  <si>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</si>
  <si>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</si>
  <si>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</si>
  <si>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</si>
  <si>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</si>
  <si>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</si>
  <si>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</si>
  <si>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</si>
  <si>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</si>
  <si>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</si>
  <si>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</si>
  <si>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</si>
  <si>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</si>
  <si>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</si>
  <si>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</si>
  <si>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</si>
  <si>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</si>
  <si>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</si>
  <si>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</si>
  <si>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</si>
  <si>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</si>
  <si>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</si>
  <si>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</si>
  <si>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</si>
  <si>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</si>
  <si>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</si>
  <si>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</si>
  <si>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</si>
  <si>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</si>
  <si>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</si>
  <si>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</si>
  <si>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</si>
  <si>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</si>
  <si>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</si>
  <si>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</si>
  <si>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</si>
  <si>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</si>
  <si>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</si>
  <si>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</si>
  <si>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</si>
  <si>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</si>
  <si>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</si>
  <si>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</si>
  <si>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</si>
  <si>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</si>
  <si>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</si>
  <si>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</si>
  <si>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</si>
  <si>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</si>
  <si>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</si>
  <si>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</si>
  <si>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</si>
  <si>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</si>
  <si>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</si>
  <si>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</si>
  <si>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</si>
  <si>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</si>
  <si>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</si>
  <si>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</si>
  <si>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</si>
  <si>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</si>
  <si>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</si>
  <si>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</si>
  <si>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</si>
  <si>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</si>
  <si>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</si>
  <si>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</si>
  <si>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</si>
  <si>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</si>
  <si>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</si>
  <si>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</si>
  <si>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</si>
  <si>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</si>
  <si>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</si>
  <si>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</si>
  <si>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</si>
  <si>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</si>
  <si>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</si>
  <si>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</si>
  <si>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</si>
  <si>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</si>
  <si>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</si>
  <si>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</si>
  <si>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</si>
  <si>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</si>
  <si>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</si>
  <si>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</si>
  <si>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</si>
  <si>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</si>
  <si>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</si>
  <si>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</si>
  <si>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</si>
  <si>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</si>
  <si>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</si>
  <si>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</si>
  <si>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</si>
  <si>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</si>
  <si>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</si>
  <si>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</si>
  <si>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</si>
  <si>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</si>
  <si>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</si>
  <si>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</si>
  <si>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</si>
  <si>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</si>
  <si>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</si>
  <si>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</si>
  <si>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</si>
  <si>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</si>
  <si>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</si>
  <si>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</si>
  <si>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</si>
  <si>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</si>
  <si>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</si>
  <si>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</si>
  <si>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</si>
  <si>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</si>
  <si>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</si>
  <si>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</si>
  <si>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</si>
  <si>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</si>
  <si>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</si>
  <si>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</si>
  <si>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</si>
  <si>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</si>
  <si>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</si>
  <si>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</si>
  <si>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</si>
  <si>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</si>
  <si>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</si>
  <si>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</si>
  <si>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</si>
  <si>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</si>
  <si>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</si>
  <si>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</si>
  <si>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</si>
  <si>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</si>
  <si>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</si>
  <si>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</si>
  <si>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</si>
  <si>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</si>
  <si>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</si>
  <si>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</si>
  <si>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</si>
  <si>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</si>
  <si>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</si>
  <si>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</si>
  <si>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</si>
  <si>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</si>
  <si>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</si>
  <si>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</si>
  <si>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</si>
  <si>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</si>
  <si>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</si>
  <si>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</si>
  <si>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</si>
  <si>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</si>
  <si>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</si>
  <si>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</si>
  <si>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</si>
  <si>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</si>
  <si>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</si>
  <si>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</si>
  <si>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</si>
  <si>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</si>
  <si>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</si>
  <si>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</si>
  <si>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</si>
  <si>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</si>
  <si>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</si>
  <si>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</si>
  <si>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</si>
  <si>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</si>
  <si>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</si>
  <si>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</si>
  <si>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</si>
  <si>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</si>
  <si>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</si>
  <si>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</si>
  <si>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</si>
  <si>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</si>
  <si>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</si>
  <si>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</si>
  <si>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</si>
  <si>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</si>
  <si>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</si>
  <si>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</si>
  <si>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</si>
  <si>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</si>
  <si>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</si>
  <si>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</si>
  <si>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</si>
  <si>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</si>
  <si>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</si>
  <si>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</si>
  <si>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</si>
  <si>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</si>
  <si>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</si>
  <si>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</si>
  <si>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</si>
  <si>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</si>
  <si>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</si>
  <si>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</si>
  <si>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</si>
  <si>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</si>
  <si>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</si>
  <si>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</si>
  <si>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</si>
  <si>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</si>
  <si>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</si>
  <si>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</si>
  <si>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</si>
  <si>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</si>
  <si>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</si>
  <si>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</si>
  <si>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</si>
  <si>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</si>
  <si>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</si>
  <si>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</si>
  <si>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</si>
  <si>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</si>
  <si>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</si>
  <si>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</si>
  <si>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</si>
  <si>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</si>
  <si>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</si>
  <si>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</si>
  <si>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</si>
  <si>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</si>
  <si>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</si>
  <si>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</si>
  <si>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</si>
  <si>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</si>
  <si>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</si>
  <si>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</si>
  <si>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</si>
  <si>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</si>
  <si>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</si>
  <si>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</si>
  <si>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</si>
  <si>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</si>
  <si>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</si>
  <si>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</si>
  <si>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</si>
  <si>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</si>
  <si>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</si>
  <si>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</si>
  <si>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</si>
  <si>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</si>
  <si>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</si>
  <si>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</si>
  <si>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</si>
  <si>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</si>
  <si>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</si>
  <si>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</si>
  <si>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</si>
  <si>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</si>
  <si>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</si>
  <si>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</si>
  <si>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</si>
  <si>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</si>
  <si>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</si>
  <si>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</si>
  <si>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</si>
  <si>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</si>
  <si>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</si>
  <si>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</si>
  <si>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</si>
  <si>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</si>
  <si>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</si>
  <si>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</si>
  <si>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</si>
  <si>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</si>
  <si>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</si>
  <si>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</si>
  <si>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</si>
  <si>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</si>
  <si>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</si>
  <si>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</si>
  <si>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</si>
  <si>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</si>
  <si>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</si>
  <si>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</si>
  <si>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</si>
  <si>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</si>
  <si>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</si>
  <si>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</si>
  <si>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</si>
  <si>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</si>
  <si>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</si>
  <si>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</si>
  <si>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</si>
  <si>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</si>
  <si>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</si>
  <si>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</si>
  <si>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</si>
  <si>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</si>
  <si>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</si>
  <si>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</si>
  <si>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</si>
  <si>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</si>
  <si>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</si>
  <si>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</si>
  <si>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</si>
  <si>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</si>
  <si>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</si>
  <si>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</si>
  <si>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</si>
  <si>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</si>
  <si>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</si>
  <si>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</si>
  <si>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</si>
  <si>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</si>
  <si>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</si>
  <si>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</si>
  <si>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</si>
  <si>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</si>
  <si>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</si>
  <si>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</si>
  <si>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</si>
  <si>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</si>
  <si>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</si>
  <si>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</si>
  <si>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</si>
  <si>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</si>
  <si>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</si>
  <si>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</si>
  <si>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</si>
  <si>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</si>
  <si>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</si>
  <si>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</si>
  <si>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</si>
  <si>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</si>
  <si>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</si>
  <si>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</si>
  <si>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</si>
  <si>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</si>
  <si>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</si>
  <si>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</si>
  <si>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</si>
  <si>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</si>
  <si>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</si>
  <si>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</si>
  <si>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</si>
  <si>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</si>
  <si>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</si>
  <si>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</si>
  <si>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</si>
  <si>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</si>
  <si>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</si>
  <si>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</si>
  <si>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</si>
  <si>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</si>
  <si>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</si>
  <si>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</si>
  <si>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</si>
  <si>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</si>
  <si>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</si>
  <si>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</si>
  <si>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</si>
  <si>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</si>
  <si>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</si>
  <si>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</si>
  <si>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</si>
  <si>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</si>
  <si>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</si>
  <si>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</si>
  <si>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</si>
  <si>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</si>
  <si>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</si>
  <si>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</si>
  <si>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</si>
  <si>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</si>
  <si>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</si>
  <si>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</si>
  <si>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</si>
  <si>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</si>
  <si>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</si>
  <si>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</si>
  <si>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</si>
  <si>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</si>
  <si>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</si>
  <si>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</si>
  <si>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</si>
  <si>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</si>
  <si>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</si>
  <si>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</si>
  <si>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</si>
  <si>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</si>
  <si>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</si>
  <si>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</si>
  <si>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</si>
  <si>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</si>
  <si>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</si>
  <si>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</si>
  <si>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</si>
  <si>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</si>
  <si>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</si>
  <si>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</si>
  <si>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</si>
  <si>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</si>
  <si>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</si>
  <si>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</si>
  <si>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</si>
  <si>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</si>
  <si>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</si>
  <si>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</si>
  <si>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</si>
  <si>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</si>
  <si>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</si>
  <si>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</si>
  <si>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</si>
  <si>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</si>
  <si>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</si>
  <si>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</si>
  <si>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</si>
  <si>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</si>
  <si>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</si>
  <si>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</si>
  <si>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</si>
  <si>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</si>
  <si>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</si>
  <si>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</si>
  <si>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</si>
  <si>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</si>
  <si>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</si>
  <si>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</si>
  <si>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</si>
  <si>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</si>
  <si>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</si>
  <si>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</si>
  <si>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</si>
  <si>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</si>
  <si>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</si>
  <si>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</si>
  <si>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</si>
  <si>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</si>
  <si>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</si>
  <si>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</si>
  <si>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</si>
  <si>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</si>
  <si>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</si>
  <si>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</si>
  <si>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</si>
  <si>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</si>
  <si>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</si>
  <si>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</si>
  <si>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</si>
  <si>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</si>
  <si>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</si>
  <si>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</si>
  <si>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</si>
  <si>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</si>
  <si>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</si>
  <si>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</si>
  <si>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</si>
  <si>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</si>
  <si>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</si>
  <si>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</si>
  <si>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</si>
  <si>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</si>
  <si>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</si>
  <si>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</si>
  <si>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</si>
  <si>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</si>
  <si>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</si>
  <si>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</si>
  <si>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</si>
  <si>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</si>
  <si>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</si>
  <si>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</si>
  <si>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</si>
  <si>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</si>
  <si>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</si>
  <si>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</si>
  <si>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</si>
  <si>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</si>
  <si>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</si>
  <si>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</si>
  <si>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</si>
  <si>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</si>
  <si>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</si>
  <si>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</si>
  <si>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</si>
  <si>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</si>
  <si>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</si>
  <si>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</si>
  <si>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</si>
  <si>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</si>
  <si>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</si>
  <si>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</si>
  <si>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</si>
  <si>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</si>
  <si>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</si>
  <si>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</si>
  <si>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</si>
  <si>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</si>
  <si>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</si>
  <si>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</si>
  <si>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</si>
  <si>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</si>
  <si>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</si>
  <si>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</si>
  <si>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</si>
  <si>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</si>
  <si>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</si>
  <si>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</si>
  <si>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</si>
  <si>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</si>
  <si>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</si>
  <si>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</si>
  <si>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</si>
  <si>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</si>
  <si>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</si>
  <si>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</si>
  <si>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</si>
  <si>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</si>
  <si>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</si>
  <si>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</si>
  <si>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</si>
  <si>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</si>
  <si>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</si>
  <si>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</si>
  <si>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</si>
  <si>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</si>
  <si>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</si>
  <si>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</si>
  <si>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</si>
  <si>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</si>
  <si>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</si>
  <si>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</si>
  <si>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</si>
  <si>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</si>
  <si>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</si>
  <si>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</si>
  <si>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</si>
  <si>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</si>
  <si>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</si>
  <si>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</si>
  <si>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</si>
  <si>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</si>
  <si>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</si>
  <si>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</si>
  <si>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</si>
  <si>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</si>
  <si>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</si>
  <si>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</si>
  <si>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</si>
  <si>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</si>
  <si>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</si>
  <si>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</si>
  <si>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</si>
  <si>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</si>
  <si>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</si>
  <si>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</si>
  <si>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</si>
  <si>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</si>
  <si>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</si>
  <si>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</si>
  <si>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</si>
  <si>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</si>
  <si>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</si>
  <si>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</si>
  <si>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</si>
  <si>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</si>
  <si>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</si>
  <si>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</si>
  <si>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</si>
  <si>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</si>
  <si>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</si>
  <si>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</si>
  <si>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</si>
  <si>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</si>
  <si>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</si>
  <si>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</si>
  <si>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</si>
  <si>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</si>
  <si>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</si>
  <si>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</si>
  <si>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</si>
  <si>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</si>
  <si>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</si>
  <si>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</si>
  <si>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</si>
  <si>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</si>
  <si>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</si>
  <si>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</si>
  <si>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</si>
  <si>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</si>
  <si>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</si>
  <si>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</si>
  <si>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</si>
  <si>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</si>
  <si>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</si>
  <si>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</si>
  <si>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</si>
  <si>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</si>
  <si>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</si>
  <si>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</si>
  <si>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</si>
  <si>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</si>
  <si>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</si>
  <si>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</si>
  <si>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</si>
  <si>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</si>
  <si>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</si>
  <si>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</si>
  <si>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</si>
  <si>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</si>
  <si>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</si>
  <si>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</si>
  <si>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</si>
  <si>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</si>
  <si>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</si>
  <si>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</si>
  <si>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</si>
  <si>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</si>
  <si>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</si>
  <si>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</si>
  <si>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</si>
  <si>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</si>
  <si>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</si>
  <si>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</si>
  <si>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</si>
  <si>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</si>
  <si>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</si>
  <si>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</si>
  <si>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</si>
  <si>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</si>
  <si>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</si>
  <si>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</si>
  <si>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</si>
  <si>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</si>
  <si>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</si>
  <si>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</si>
  <si>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</si>
  <si>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</si>
  <si>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</si>
  <si>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</si>
  <si>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</si>
  <si>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</si>
  <si>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</si>
  <si>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</si>
  <si>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</si>
  <si>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</si>
  <si>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</si>
  <si>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</si>
  <si>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</si>
  <si>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</si>
  <si>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</si>
  <si>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</si>
  <si>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</si>
  <si>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</si>
  <si>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</si>
  <si>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</si>
  <si>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</si>
  <si>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</si>
  <si>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</si>
  <si>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</si>
  <si>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</si>
  <si>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</si>
  <si>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</si>
  <si>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</si>
  <si>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</si>
  <si>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</si>
  <si>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</si>
  <si>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</si>
  <si>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</si>
  <si>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</si>
  <si>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</si>
  <si>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</si>
  <si>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</si>
  <si>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</si>
  <si>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</si>
  <si>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</si>
  <si>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</si>
  <si>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</si>
  <si>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</si>
  <si>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</si>
  <si>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</si>
  <si>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</si>
  <si>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</si>
  <si>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</si>
  <si>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</si>
  <si>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</si>
  <si>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</si>
  <si>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</si>
  <si>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</si>
  <si>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</si>
  <si>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</si>
  <si>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</si>
  <si>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</si>
  <si>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</si>
  <si>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</si>
  <si>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</si>
  <si>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</si>
  <si>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</si>
  <si>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</si>
  <si>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</si>
  <si>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</si>
  <si>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</si>
  <si>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</si>
  <si>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</si>
  <si>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</si>
  <si>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</si>
  <si>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</si>
  <si>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</si>
  <si>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</si>
  <si>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</si>
  <si>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</si>
  <si>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</si>
  <si>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</si>
  <si>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</si>
  <si>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</si>
  <si>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</si>
  <si>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</si>
  <si>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</si>
  <si>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</si>
  <si>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</si>
  <si>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</si>
  <si>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</si>
  <si>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</si>
  <si>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</si>
  <si>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</si>
  <si>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</si>
  <si>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</si>
  <si>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</si>
  <si>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</si>
  <si>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</si>
  <si>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</si>
  <si>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</si>
  <si>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</si>
  <si>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</si>
  <si>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</si>
  <si>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</si>
  <si>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</si>
  <si>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</si>
  <si>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</si>
  <si>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</si>
  <si>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</si>
  <si>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</si>
  <si>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</si>
  <si>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</si>
  <si>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</si>
  <si>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</si>
  <si>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</si>
  <si>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</si>
  <si>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</si>
  <si>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</si>
  <si>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</si>
  <si>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</si>
  <si>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</si>
  <si>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</si>
  <si>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</si>
  <si>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</si>
  <si>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</si>
  <si>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</si>
  <si>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</si>
  <si>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</si>
  <si>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</si>
  <si>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</si>
  <si>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</si>
  <si>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</si>
  <si>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</si>
  <si>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</si>
  <si>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</si>
  <si>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</si>
  <si>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</si>
  <si>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</si>
  <si>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</si>
  <si>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</si>
  <si>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</si>
  <si>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</si>
  <si>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</si>
  <si>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</si>
  <si>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</si>
  <si>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</si>
  <si>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</si>
  <si>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</si>
  <si>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</si>
  <si>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</si>
  <si>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</si>
  <si>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</si>
  <si>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</si>
  <si>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</si>
  <si>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</si>
  <si>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</si>
  <si>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</si>
  <si>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</si>
  <si>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</si>
  <si>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</si>
  <si>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</si>
  <si>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</si>
  <si>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</si>
  <si>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</si>
  <si>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</si>
  <si>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</si>
  <si>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</si>
  <si>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</si>
  <si>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</si>
  <si>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</si>
  <si>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</si>
  <si>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</si>
  <si>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</si>
  <si>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</si>
  <si>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</si>
  <si>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</si>
  <si>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</si>
  <si>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</si>
  <si>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</si>
  <si>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</si>
  <si>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</si>
  <si>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</si>
  <si>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</si>
  <si>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</si>
  <si>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</si>
  <si>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</si>
  <si>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</si>
  <si>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</si>
  <si>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</si>
  <si>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</si>
  <si>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</si>
  <si>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</si>
  <si>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</si>
  <si>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</si>
  <si>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</si>
  <si>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</si>
  <si>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</si>
  <si>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</si>
  <si>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</si>
  <si>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</si>
  <si>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</si>
  <si>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</si>
  <si>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</si>
  <si>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</si>
  <si>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</si>
  <si>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</si>
  <si>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</si>
  <si>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</si>
  <si>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</si>
  <si>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</si>
  <si>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</si>
  <si>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</si>
  <si>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</si>
  <si>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</si>
  <si>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</si>
  <si>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</si>
  <si>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</si>
  <si>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</si>
  <si>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</si>
  <si>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</si>
  <si>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</si>
  <si>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</si>
  <si>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</si>
  <si>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</si>
  <si>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</si>
  <si>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</si>
  <si>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</si>
  <si>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</si>
  <si>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</si>
  <si>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</si>
  <si>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</si>
  <si>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</si>
  <si>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</si>
  <si>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</si>
  <si>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</si>
  <si>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</si>
  <si>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</si>
  <si>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</si>
  <si>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</si>
  <si>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</si>
  <si>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</si>
  <si>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</si>
  <si>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</si>
  <si>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</si>
  <si>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</si>
  <si>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</si>
  <si>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</si>
  <si>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</si>
  <si>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</si>
  <si>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</si>
  <si>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</si>
  <si>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</si>
  <si>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</si>
  <si>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</si>
  <si>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</si>
  <si>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</si>
  <si>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</si>
  <si>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</si>
  <si>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</si>
  <si>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</si>
  <si>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</si>
  <si>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</si>
  <si>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</si>
  <si>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</si>
  <si>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</si>
  <si>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</si>
  <si>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</si>
  <si>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</si>
  <si>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</si>
  <si>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</si>
  <si>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</si>
  <si>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</si>
  <si>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</si>
  <si>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</si>
  <si>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</si>
  <si>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</si>
  <si>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</si>
  <si>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</si>
  <si>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</si>
  <si>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</si>
  <si>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</si>
  <si>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</si>
  <si>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</si>
  <si>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</si>
  <si>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</si>
  <si>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</si>
  <si>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</si>
  <si>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</si>
  <si>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</si>
  <si>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</si>
  <si>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</si>
  <si>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</si>
  <si>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</si>
  <si>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</si>
  <si>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</si>
  <si>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</si>
  <si>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</si>
  <si>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</si>
  <si>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</si>
  <si>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</si>
  <si>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</si>
  <si>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</si>
  <si>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</si>
  <si>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</si>
  <si>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</si>
  <si>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</si>
  <si>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</si>
  <si>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</si>
  <si>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</si>
  <si>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</si>
  <si>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</si>
  <si>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</si>
  <si>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</si>
  <si>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</si>
  <si>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</si>
  <si>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</si>
  <si>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</si>
  <si>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</si>
  <si>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</si>
  <si>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</si>
  <si>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</si>
  <si>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</si>
  <si>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</si>
  <si>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</si>
  <si>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</si>
  <si>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</si>
  <si>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</si>
  <si>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</si>
  <si>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</si>
  <si>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</si>
  <si>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</si>
  <si>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</si>
  <si>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</si>
  <si>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</si>
  <si>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</si>
  <si>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</si>
  <si>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</si>
  <si>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</si>
  <si>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</si>
  <si>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</si>
  <si>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</si>
  <si>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</si>
  <si>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</si>
  <si>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</si>
  <si>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</si>
  <si>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</si>
  <si>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</si>
  <si>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</si>
  <si>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</si>
  <si>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</si>
  <si>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</si>
  <si>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</si>
  <si>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</si>
  <si>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</si>
  <si>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</si>
  <si>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</si>
  <si>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</si>
  <si>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</si>
  <si>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</si>
  <si>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</si>
  <si>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</si>
  <si>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</si>
  <si>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</si>
  <si>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</si>
  <si>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</si>
  <si>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</si>
  <si>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</si>
  <si>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</si>
  <si>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</si>
  <si>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</si>
  <si>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</si>
  <si>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</si>
  <si>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</si>
  <si>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</si>
  <si>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</si>
  <si>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</si>
  <si>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</si>
  <si>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</si>
  <si>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</si>
  <si>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</si>
  <si>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</si>
  <si>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</si>
  <si>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</si>
  <si>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</si>
  <si>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</si>
  <si>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</si>
  <si>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</si>
  <si>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</si>
  <si>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</si>
  <si>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</si>
  <si>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</si>
  <si>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</si>
  <si>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</si>
  <si>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</si>
  <si>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</si>
  <si>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</si>
  <si>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</si>
  <si>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</si>
  <si>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</si>
  <si>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</si>
  <si>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</si>
  <si>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</si>
  <si>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</si>
  <si>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</si>
  <si>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</si>
  <si>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</si>
  <si>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</si>
  <si>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</si>
  <si>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</si>
  <si>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</si>
  <si>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</si>
  <si>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</si>
  <si>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</si>
  <si>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</si>
  <si>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</si>
  <si>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</si>
  <si>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</si>
  <si>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</si>
  <si>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</si>
  <si>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</si>
  <si>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</si>
  <si>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</si>
  <si>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</si>
  <si>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</si>
  <si>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</si>
  <si>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</si>
  <si>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</si>
  <si>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</si>
  <si>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</si>
  <si>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</si>
  <si>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</si>
  <si>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</si>
  <si>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</si>
  <si>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</si>
  <si>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</si>
  <si>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</si>
  <si>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</si>
  <si>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</si>
  <si>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</si>
  <si>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</si>
  <si>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</si>
  <si>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</si>
  <si>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</si>
  <si>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</si>
  <si>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</si>
  <si>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</si>
  <si>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</si>
  <si>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</si>
  <si>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</si>
  <si>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</si>
  <si>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</si>
  <si>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</si>
  <si>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</si>
  <si>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</si>
  <si>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</si>
  <si>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</si>
  <si>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</si>
  <si>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</si>
  <si>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</si>
  <si>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</si>
  <si>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</si>
  <si>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</si>
  <si>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</si>
  <si>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</si>
  <si>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</si>
  <si>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</si>
  <si>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</si>
  <si>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</si>
  <si>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</si>
  <si>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</si>
  <si>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</si>
  <si>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</si>
  <si>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</si>
  <si>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</si>
  <si>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</si>
  <si>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</si>
  <si>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</si>
  <si>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</si>
  <si>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</si>
  <si>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</si>
  <si>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</si>
  <si>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</si>
  <si>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</si>
  <si>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</si>
  <si>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</si>
  <si>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</si>
  <si>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</si>
  <si>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</si>
  <si>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</si>
  <si>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</si>
  <si>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</si>
  <si>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</si>
  <si>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</si>
  <si>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</si>
  <si>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</si>
  <si>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</si>
  <si>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</si>
  <si>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</si>
  <si>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</si>
  <si>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</si>
  <si>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</si>
  <si>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</si>
  <si>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</si>
  <si>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</si>
  <si>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</si>
  <si>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</si>
  <si>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</si>
  <si>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</si>
  <si>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</si>
  <si>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</si>
  <si>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</si>
  <si>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</si>
  <si>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</si>
  <si>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</si>
  <si>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</si>
  <si>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</si>
  <si>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</si>
  <si>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</si>
  <si>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</si>
  <si>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</si>
  <si>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</si>
  <si>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</si>
  <si>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</si>
  <si>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</si>
  <si>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</si>
  <si>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</si>
  <si>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</si>
  <si>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</si>
  <si>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</si>
  <si>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</si>
  <si>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</si>
  <si>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</si>
  <si>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</si>
  <si>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</si>
  <si>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</si>
  <si>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</si>
  <si>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</si>
  <si>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</si>
  <si>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</si>
  <si>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</si>
  <si>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</si>
  <si>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</si>
  <si>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</si>
  <si>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</si>
  <si>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</si>
  <si>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</si>
  <si>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</si>
  <si>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</si>
  <si>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</si>
  <si>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</si>
  <si>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</si>
  <si>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</si>
  <si>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</si>
  <si>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</si>
  <si>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</si>
  <si>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</si>
  <si>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</si>
  <si>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</si>
  <si>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</si>
  <si>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</si>
  <si>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</si>
  <si>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</si>
  <si>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</si>
  <si>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</si>
  <si>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</si>
  <si>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</si>
  <si>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</si>
  <si>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</si>
  <si>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</si>
  <si>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</si>
  <si>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</si>
  <si>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</si>
  <si>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</si>
  <si>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</si>
  <si>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</si>
  <si>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</si>
  <si>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</si>
  <si>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</si>
  <si>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</si>
  <si>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</si>
  <si>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</si>
  <si>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</si>
  <si>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</si>
  <si>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</si>
  <si>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</si>
  <si>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</si>
  <si>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</si>
  <si>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</si>
  <si>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</si>
  <si>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</si>
  <si>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</si>
  <si>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</si>
  <si>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</si>
  <si>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</si>
  <si>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</si>
  <si>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</si>
  <si>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</si>
  <si>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</si>
  <si>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</si>
  <si>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</si>
  <si>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</si>
  <si>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</si>
  <si>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</si>
  <si>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</si>
  <si>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</si>
  <si>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</si>
  <si>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</si>
  <si>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</si>
  <si>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</si>
  <si>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</si>
  <si>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</si>
  <si>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</si>
  <si>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</si>
  <si>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</si>
  <si>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</si>
  <si>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</si>
  <si>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</si>
  <si>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</si>
  <si>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</si>
  <si>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</si>
  <si>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</si>
  <si>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</si>
  <si>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</si>
  <si>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</si>
  <si>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</si>
  <si>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</si>
  <si>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</si>
  <si>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</si>
  <si>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</si>
  <si>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</si>
  <si>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</si>
  <si>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</si>
  <si>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</si>
  <si>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</si>
  <si>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</si>
  <si>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</si>
  <si>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</si>
  <si>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</si>
  <si>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</si>
  <si>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</si>
  <si>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</si>
  <si>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</si>
  <si>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</si>
  <si>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</si>
  <si>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</si>
  <si>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</si>
  <si>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</si>
  <si>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</si>
  <si>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</si>
  <si>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</si>
  <si>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</si>
  <si>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</si>
  <si>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</si>
  <si>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</si>
  <si>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</si>
  <si>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</si>
  <si>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</si>
  <si>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</si>
  <si>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</si>
  <si>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</si>
  <si>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</si>
  <si>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</si>
  <si>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</si>
  <si>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</si>
  <si>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</si>
  <si>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</si>
  <si>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</si>
  <si>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</si>
  <si>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</si>
  <si>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</si>
  <si>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</si>
  <si>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</si>
  <si>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</si>
  <si>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</si>
  <si>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</si>
  <si>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</si>
  <si>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</si>
  <si>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</si>
  <si>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</si>
  <si>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</si>
  <si>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</si>
  <si>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</si>
  <si>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</si>
  <si>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</si>
  <si>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</si>
  <si>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</si>
  <si>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</si>
  <si>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</si>
  <si>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</si>
  <si>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</si>
  <si>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</si>
  <si>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</si>
  <si>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</si>
  <si>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</si>
  <si>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</si>
  <si>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</si>
  <si>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</si>
  <si>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</si>
  <si>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</si>
  <si>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</si>
  <si>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</si>
  <si>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</si>
  <si>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</si>
  <si>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</si>
  <si>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</si>
  <si>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</si>
  <si>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</si>
  <si>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</si>
  <si>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</si>
  <si>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</si>
  <si>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</si>
  <si>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</si>
  <si>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</si>
  <si>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</si>
  <si>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</si>
  <si>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</si>
  <si>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</si>
  <si>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</si>
  <si>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</si>
  <si>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</si>
  <si>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</si>
  <si>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</si>
  <si>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</si>
  <si>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</si>
  <si>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</si>
  <si>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</si>
  <si>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</si>
  <si>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</si>
  <si>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</si>
  <si>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</si>
  <si>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</si>
  <si>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</si>
  <si>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</si>
  <si>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</si>
  <si>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</si>
  <si>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</si>
  <si>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</si>
  <si>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</si>
  <si>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</si>
  <si>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</si>
  <si>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</si>
  <si>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</si>
  <si>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</si>
  <si>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</si>
  <si>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</si>
  <si>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</si>
  <si>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</si>
  <si>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</si>
  <si>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</si>
  <si>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</si>
  <si>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</si>
  <si>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</si>
  <si>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</si>
  <si>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</si>
  <si>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</si>
  <si>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</si>
  <si>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</si>
  <si>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</si>
  <si>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</si>
  <si>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</si>
  <si>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</si>
  <si>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</si>
  <si>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</si>
  <si>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</si>
  <si>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</si>
  <si>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</si>
  <si>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</si>
  <si>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</si>
  <si>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</si>
  <si>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</si>
  <si>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</si>
  <si>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</si>
  <si>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</si>
  <si>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</si>
  <si>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</si>
  <si>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</si>
  <si>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</si>
  <si>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</si>
  <si>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</si>
  <si>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</si>
  <si>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</si>
  <si>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</si>
  <si>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</si>
  <si>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</si>
  <si>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</si>
  <si>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</si>
  <si>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</si>
  <si>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</si>
  <si>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</si>
  <si>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</si>
  <si>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</si>
  <si>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</si>
  <si>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</si>
  <si>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</si>
  <si>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</si>
  <si>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</si>
  <si>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</si>
  <si>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</si>
  <si>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</si>
  <si>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</si>
  <si>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</si>
  <si>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</si>
  <si>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</si>
  <si>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</si>
  <si>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</si>
  <si>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</si>
  <si>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</si>
  <si>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</si>
  <si>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</si>
  <si>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</si>
  <si>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</si>
  <si>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</si>
  <si>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</si>
  <si>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</si>
  <si>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</si>
  <si>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</si>
  <si>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</si>
  <si>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</si>
  <si>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</si>
  <si>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</si>
  <si>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</si>
  <si>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</si>
  <si>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</si>
  <si>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</si>
  <si>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</si>
  <si>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</si>
  <si>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</si>
  <si>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</si>
  <si>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</si>
  <si>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</si>
  <si>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</si>
  <si>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</si>
  <si>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</si>
  <si>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</si>
  <si>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</si>
  <si>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</si>
  <si>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</si>
  <si>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</si>
  <si>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</si>
  <si>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</si>
  <si>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</si>
  <si>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</si>
  <si>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</si>
  <si>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</si>
  <si>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</si>
  <si>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</si>
  <si>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</si>
  <si>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</si>
  <si>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</si>
  <si>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</si>
  <si>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</si>
  <si>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</si>
  <si>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</si>
  <si>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</si>
  <si>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</si>
  <si>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</si>
  <si>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</si>
  <si>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</si>
  <si>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</si>
  <si>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</si>
  <si>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</si>
  <si>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</si>
  <si>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</si>
  <si>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</si>
  <si>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</si>
  <si>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</si>
  <si>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</si>
  <si>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</si>
  <si>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</si>
  <si>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</si>
  <si>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</si>
  <si>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</si>
  <si>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</si>
  <si>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</si>
  <si>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</si>
  <si>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</si>
  <si>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</si>
  <si>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</si>
  <si>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</si>
  <si>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</si>
  <si>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</si>
  <si>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</si>
  <si>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</si>
  <si>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</si>
  <si>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</si>
  <si>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</si>
  <si>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</si>
  <si>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</si>
  <si>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</si>
  <si>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</si>
  <si>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</si>
  <si>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</si>
  <si>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</si>
  <si>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</si>
  <si>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</si>
  <si>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</si>
  <si>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</si>
  <si>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</si>
  <si>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</si>
  <si>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</si>
  <si>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</si>
  <si>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</si>
  <si>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</si>
  <si>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</si>
  <si>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</si>
  <si>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</si>
  <si>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</si>
  <si>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</si>
  <si>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</si>
  <si>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</si>
  <si>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</si>
  <si>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</si>
  <si>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</si>
  <si>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</si>
  <si>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</si>
  <si>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</si>
  <si>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</si>
  <si>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</si>
  <si>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</si>
  <si>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</si>
  <si>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</si>
  <si>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</si>
  <si>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</si>
  <si>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</si>
  <si>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</si>
  <si>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</si>
  <si>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</si>
  <si>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</si>
  <si>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</si>
  <si>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</si>
  <si>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</si>
  <si>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</si>
  <si>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</si>
  <si>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</si>
  <si>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</si>
  <si>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</si>
  <si>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</si>
  <si>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</si>
  <si>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</si>
  <si>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</si>
  <si>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</si>
  <si>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</si>
  <si>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</si>
  <si>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</si>
  <si>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</si>
  <si>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</si>
  <si>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</si>
  <si>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</si>
  <si>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</si>
  <si>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</si>
  <si>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</si>
  <si>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</si>
  <si>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</si>
  <si>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</si>
  <si>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</si>
  <si>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</si>
  <si>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</si>
  <si>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</si>
  <si>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</si>
  <si>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</si>
  <si>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</si>
  <si>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</si>
  <si>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</si>
  <si>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</si>
  <si>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</si>
  <si>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</si>
  <si>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</si>
  <si>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</si>
  <si>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</si>
  <si>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</si>
  <si>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</si>
  <si>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</si>
  <si>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</si>
  <si>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</si>
  <si>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</si>
  <si>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</si>
  <si>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</si>
  <si>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</si>
  <si>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</si>
  <si>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</si>
  <si>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</si>
  <si>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</si>
  <si>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</si>
  <si>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</si>
  <si>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</si>
  <si>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</si>
  <si>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</si>
  <si>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</si>
  <si>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</si>
  <si>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</si>
  <si>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</si>
  <si>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</si>
  <si>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</si>
  <si>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</si>
  <si>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</si>
  <si>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</si>
  <si>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</si>
  <si>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</si>
  <si>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</si>
  <si>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</si>
  <si>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</si>
  <si>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</si>
  <si>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</si>
  <si>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</si>
  <si>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</si>
  <si>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</si>
  <si>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</si>
  <si>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</si>
  <si>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</si>
  <si>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</si>
  <si>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</si>
  <si>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</si>
  <si>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</si>
  <si>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</si>
  <si>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</si>
  <si>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</si>
  <si>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</si>
  <si>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</si>
  <si>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</si>
  <si>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</si>
  <si>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</si>
  <si>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</si>
  <si>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</si>
  <si>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</si>
  <si>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</si>
  <si>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</si>
  <si>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</si>
  <si>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</si>
  <si>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</si>
  <si>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</si>
  <si>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</si>
  <si>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</si>
  <si>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</si>
  <si>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</si>
  <si>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</si>
  <si>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</si>
  <si>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</si>
  <si>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</si>
  <si>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</si>
  <si>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</si>
  <si>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</si>
  <si>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</si>
  <si>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</si>
  <si>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</si>
  <si>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</si>
  <si>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</si>
  <si>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</si>
  <si>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</si>
  <si>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</si>
  <si>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</si>
  <si>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</si>
  <si>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</si>
  <si>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</si>
  <si>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</si>
  <si>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</si>
  <si>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</si>
  <si>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</si>
  <si>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</si>
  <si>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</si>
  <si>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</si>
  <si>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</si>
  <si>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</si>
  <si>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</si>
  <si>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</si>
  <si>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</si>
  <si>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</si>
  <si>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</si>
  <si>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</si>
  <si>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</si>
  <si>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</si>
  <si>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</si>
  <si>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</si>
  <si>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</si>
  <si>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</si>
  <si>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</si>
  <si>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</si>
  <si>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</si>
  <si>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</si>
  <si>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</si>
  <si>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</si>
  <si>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</si>
  <si>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</si>
  <si>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</si>
  <si>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</si>
  <si>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</si>
  <si>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</si>
  <si>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</si>
  <si>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</si>
  <si>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</si>
  <si>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</si>
  <si>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</si>
  <si>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</si>
  <si>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</si>
  <si>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</si>
  <si>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</si>
  <si>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</si>
  <si>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</si>
  <si>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</si>
  <si>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</si>
  <si>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</si>
  <si>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</si>
  <si>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</si>
  <si>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</si>
  <si>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</si>
  <si>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</si>
  <si>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</si>
  <si>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</si>
  <si>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</si>
  <si>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</si>
  <si>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</si>
  <si>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</si>
  <si>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</si>
  <si>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</si>
  <si>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</si>
  <si>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</si>
  <si>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</si>
  <si>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</si>
  <si>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</si>
  <si>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</si>
  <si>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</si>
  <si>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</si>
  <si>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</si>
  <si>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</si>
  <si>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</si>
  <si>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</si>
  <si>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</si>
  <si>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</si>
  <si>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</si>
  <si>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</si>
  <si>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</si>
  <si>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</si>
  <si>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</si>
  <si>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</si>
  <si>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</si>
  <si>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</si>
  <si>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</si>
  <si>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</si>
  <si>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</si>
  <si>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</si>
  <si>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</si>
  <si>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</si>
  <si>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</si>
  <si>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</si>
  <si>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</si>
  <si>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</si>
  <si>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</si>
  <si>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</si>
  <si>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</si>
  <si>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</si>
  <si>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</si>
  <si>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</si>
  <si>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</si>
  <si>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</si>
  <si>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</si>
  <si>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</si>
  <si>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</si>
  <si>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</si>
  <si>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</si>
  <si>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</si>
  <si>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</si>
  <si>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</si>
  <si>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</si>
  <si>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</si>
  <si>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</si>
  <si>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</si>
  <si>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</si>
  <si>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</si>
  <si>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</si>
  <si>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</si>
  <si>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</si>
  <si>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</si>
  <si>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</si>
  <si>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</si>
  <si>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</si>
  <si>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</si>
  <si>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</si>
  <si>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</si>
  <si>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</si>
  <si>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</si>
  <si>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</si>
  <si>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</si>
  <si>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</si>
  <si>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</si>
  <si>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</si>
  <si>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</si>
  <si>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</si>
  <si>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</si>
  <si>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</si>
  <si>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</si>
  <si>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</si>
  <si>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</si>
  <si>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</si>
  <si>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</si>
  <si>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</si>
  <si>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</si>
  <si>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</si>
  <si>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</si>
  <si>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</si>
  <si>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</si>
  <si>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</si>
  <si>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</si>
  <si>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</si>
  <si>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</si>
  <si>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</si>
  <si>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</si>
  <si>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</si>
  <si>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</si>
  <si>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</si>
  <si>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</si>
  <si>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</si>
  <si>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</si>
  <si>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</si>
  <si>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</si>
  <si>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</si>
  <si>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</si>
  <si>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</si>
  <si>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</si>
  <si>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</si>
  <si>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</si>
  <si>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</si>
  <si>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</si>
  <si>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</si>
  <si>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</si>
  <si>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</si>
  <si>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</si>
  <si>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</si>
  <si>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</si>
  <si>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</si>
  <si>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</si>
  <si>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</si>
  <si>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</si>
  <si>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</si>
  <si>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</si>
  <si>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</si>
  <si>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</si>
  <si>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</si>
  <si>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</si>
  <si>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</si>
  <si>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</si>
  <si>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</si>
  <si>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</si>
  <si>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</si>
  <si>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</si>
  <si>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</si>
  <si>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</si>
  <si>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</si>
  <si>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</si>
  <si>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</si>
  <si>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</si>
  <si>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</si>
  <si>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</si>
  <si>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</si>
  <si>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</si>
  <si>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</si>
  <si>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</si>
  <si>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</si>
  <si>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</si>
  <si>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</si>
  <si>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</si>
  <si>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</si>
  <si>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</si>
  <si>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</si>
  <si>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</si>
  <si>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</si>
  <si>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</si>
  <si>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</si>
  <si>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</si>
  <si>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</si>
  <si>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</si>
  <si>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</si>
  <si>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</si>
  <si>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</si>
  <si>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</si>
  <si>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</si>
  <si>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</si>
  <si>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</si>
  <si>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</si>
  <si>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</si>
  <si>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</si>
  <si>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</si>
  <si>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</si>
  <si>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</si>
  <si>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</si>
  <si>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</si>
  <si>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</si>
  <si>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</si>
  <si>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</si>
  <si>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</si>
  <si>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</si>
  <si>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</si>
  <si>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</si>
  <si>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</si>
  <si>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</si>
  <si>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</si>
  <si>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</si>
  <si>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</si>
  <si>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</si>
  <si>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</si>
  <si>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</si>
  <si>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</si>
  <si>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</si>
  <si>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</si>
  <si>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</si>
  <si>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</si>
  <si>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</si>
  <si>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</si>
  <si>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</si>
  <si>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</si>
  <si>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</si>
  <si>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</si>
  <si>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</si>
  <si>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</si>
  <si>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</si>
  <si>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</si>
  <si>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</si>
  <si>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</si>
  <si>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</si>
  <si>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</si>
  <si>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</si>
  <si>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</si>
  <si>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</si>
  <si>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</si>
  <si>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</si>
  <si>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</si>
  <si>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</si>
  <si>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</si>
  <si>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</si>
  <si>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</si>
  <si>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</si>
  <si>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</si>
  <si>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</si>
  <si>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</si>
  <si>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</si>
  <si>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</si>
  <si>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</si>
  <si>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</si>
  <si>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</si>
  <si>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</si>
  <si>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</si>
  <si>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</si>
  <si>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</si>
  <si>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</si>
  <si>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</si>
  <si>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</si>
  <si>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</si>
  <si>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</si>
  <si>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</si>
  <si>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</si>
  <si>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</si>
  <si>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</si>
  <si>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</si>
  <si>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</si>
  <si>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</si>
  <si>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</si>
  <si>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</si>
  <si>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</si>
  <si>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</si>
  <si>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</si>
  <si>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</si>
  <si>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</si>
  <si>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</si>
  <si>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</si>
  <si>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</si>
  <si>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</si>
  <si>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</si>
  <si>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</si>
  <si>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</si>
  <si>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</si>
  <si>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</si>
  <si>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</si>
  <si>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</si>
  <si>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</si>
  <si>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</si>
  <si>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</si>
  <si>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</si>
  <si>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</si>
  <si>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</si>
  <si>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</si>
  <si>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</si>
  <si>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</si>
  <si>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</si>
  <si>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</si>
  <si>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</si>
  <si>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</si>
  <si>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</si>
  <si>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</si>
  <si>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</si>
  <si>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</si>
  <si>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</si>
  <si>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</si>
  <si>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</si>
  <si>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</si>
  <si>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</si>
  <si>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</si>
  <si>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</si>
  <si>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</si>
  <si>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</si>
  <si>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</si>
  <si>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</si>
  <si>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</si>
  <si>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</si>
  <si>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</si>
  <si>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</si>
  <si>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</si>
  <si>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</si>
  <si>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</si>
  <si>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</si>
  <si>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</si>
  <si>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</si>
  <si>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</si>
  <si>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</si>
  <si>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</si>
  <si>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</si>
  <si>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</si>
  <si>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</si>
  <si>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</si>
  <si>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</si>
  <si>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</si>
  <si>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</si>
  <si>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</si>
  <si>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</si>
  <si>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</si>
  <si>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</si>
  <si>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</si>
  <si>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</si>
  <si>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</si>
  <si>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</si>
  <si>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</si>
  <si>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</si>
  <si>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</si>
  <si>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</si>
  <si>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</si>
  <si>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</si>
  <si>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</si>
  <si>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</si>
  <si>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</si>
  <si>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</si>
  <si>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</si>
  <si>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</si>
  <si>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</si>
  <si>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</si>
  <si>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</si>
  <si>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</si>
  <si>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</si>
  <si>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</si>
  <si>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</si>
  <si>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</si>
  <si>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</si>
  <si>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</si>
  <si>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</si>
  <si>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</si>
  <si>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</si>
  <si>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</si>
  <si>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</si>
  <si>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</si>
  <si>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</si>
  <si>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</si>
  <si>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</si>
  <si>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</si>
  <si>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</si>
  <si>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</si>
  <si>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</si>
  <si>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</si>
  <si>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</si>
  <si>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</si>
  <si>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</si>
  <si>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</si>
  <si>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</si>
  <si>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</si>
  <si>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</si>
  <si>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</si>
  <si>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</si>
  <si>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</si>
  <si>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</si>
  <si>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</si>
  <si>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</si>
  <si>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</si>
  <si>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</si>
  <si>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</si>
  <si>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</si>
  <si>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</si>
  <si>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</si>
  <si>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</si>
  <si>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</si>
  <si>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</si>
  <si>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</si>
  <si>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</si>
  <si>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</si>
  <si>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</si>
  <si>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</si>
  <si>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</si>
  <si>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</si>
  <si>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</si>
  <si>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</si>
  <si>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</si>
  <si>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</si>
  <si>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</si>
  <si>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</si>
  <si>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</si>
  <si>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</si>
  <si>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</si>
  <si>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</si>
  <si>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</si>
  <si>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</si>
  <si>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</si>
  <si>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</si>
  <si>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</si>
  <si>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</si>
  <si>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</si>
  <si>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</si>
  <si>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</si>
  <si>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</si>
  <si>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</si>
  <si>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</si>
  <si>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</si>
  <si>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</si>
  <si>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</si>
  <si>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</si>
  <si>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</si>
  <si>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</si>
  <si>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</si>
  <si>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</si>
  <si>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</si>
  <si>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</si>
  <si>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</si>
  <si>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</si>
  <si>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</si>
  <si>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</si>
  <si>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</si>
  <si>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</si>
  <si>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</si>
  <si>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</si>
  <si>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</si>
  <si>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</si>
  <si>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</si>
  <si>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</si>
  <si>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</si>
  <si>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</si>
  <si>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</si>
  <si>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</si>
  <si>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</si>
  <si>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</si>
  <si>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</si>
  <si>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</si>
  <si>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</si>
  <si>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</si>
  <si>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</si>
  <si>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</si>
  <si>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</si>
  <si>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</si>
  <si>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</si>
  <si>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</si>
  <si>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</si>
  <si>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</si>
  <si>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</si>
  <si>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</si>
  <si>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</si>
  <si>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</si>
  <si>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</si>
  <si>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</si>
  <si>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</si>
  <si>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</si>
  <si>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</si>
  <si>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</si>
  <si>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</si>
  <si>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</si>
  <si>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</si>
  <si>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</si>
  <si>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</si>
  <si>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</si>
  <si>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</si>
  <si>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</si>
  <si>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</si>
  <si>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</si>
  <si>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</si>
  <si>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</si>
  <si>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</si>
  <si>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</si>
  <si>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</si>
  <si>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</si>
  <si>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</si>
  <si>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</si>
  <si>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</si>
  <si>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</si>
  <si>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</si>
  <si>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</si>
  <si>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</si>
  <si>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</si>
  <si>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</si>
  <si>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</si>
  <si>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</si>
  <si>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</si>
  <si>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</si>
  <si>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</si>
  <si>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</si>
  <si>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</si>
  <si>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</si>
  <si>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</si>
  <si>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</si>
  <si>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</si>
  <si>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</si>
  <si>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</si>
  <si>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</si>
  <si>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</si>
  <si>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</si>
  <si>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</si>
  <si>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</si>
  <si>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</si>
  <si>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</si>
  <si>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</si>
  <si>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</si>
  <si>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</si>
  <si>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</si>
  <si>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</si>
  <si>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</si>
  <si>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</si>
  <si>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</si>
  <si>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</si>
  <si>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</si>
  <si>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</si>
  <si>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</si>
  <si>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</si>
  <si>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</si>
  <si>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</si>
  <si>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</si>
  <si>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</si>
  <si>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</si>
  <si>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</si>
  <si>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</si>
  <si>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</si>
  <si>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</si>
  <si>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</si>
  <si>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</si>
  <si>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</si>
  <si>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</si>
  <si>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</si>
  <si>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</si>
  <si>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</si>
  <si>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</si>
  <si>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</si>
  <si>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</si>
  <si>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</si>
  <si>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</si>
  <si>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</si>
  <si>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</si>
  <si>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</si>
  <si>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</si>
  <si>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</si>
  <si>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</si>
  <si>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</si>
  <si>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</si>
  <si>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</si>
  <si>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</si>
  <si>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</si>
  <si>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</si>
  <si>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</si>
  <si>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</si>
  <si>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</si>
  <si>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</si>
  <si>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</si>
  <si>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</si>
  <si>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</si>
  <si>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</si>
  <si>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</si>
  <si>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</si>
  <si>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</si>
  <si>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</si>
  <si>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</si>
  <si>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</si>
  <si>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</si>
  <si>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</si>
  <si>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</si>
  <si>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</si>
  <si>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</si>
  <si>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</si>
  <si>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</si>
  <si>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</si>
  <si>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</si>
  <si>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</si>
  <si>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</si>
  <si>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</si>
  <si>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</si>
  <si>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</si>
  <si>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</si>
  <si>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</si>
  <si>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</si>
  <si>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</si>
  <si>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</si>
  <si>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</si>
  <si>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</si>
  <si>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</si>
  <si>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</si>
  <si>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</si>
  <si>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</si>
  <si>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</si>
  <si>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</si>
  <si>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</si>
  <si>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</si>
  <si>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</si>
  <si>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</si>
  <si>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</si>
  <si>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</si>
  <si>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</si>
  <si>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</si>
  <si>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</si>
  <si>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</si>
  <si>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</si>
  <si>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</si>
  <si>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</si>
  <si>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</si>
  <si>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</si>
  <si>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</si>
  <si>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</si>
  <si>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</si>
  <si>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</si>
  <si>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</si>
  <si>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</si>
  <si>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</si>
  <si>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</si>
  <si>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</si>
  <si>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</si>
  <si>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</si>
  <si>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</si>
  <si>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</si>
  <si>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</si>
  <si>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</si>
  <si>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</si>
  <si>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</si>
  <si>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</si>
  <si>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</si>
  <si>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</si>
  <si>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</si>
  <si>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</si>
  <si>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</si>
  <si>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</si>
  <si>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</si>
  <si>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</si>
  <si>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</si>
  <si>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</si>
  <si>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</si>
  <si>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</si>
  <si>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</si>
  <si>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</si>
  <si>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</si>
  <si>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</si>
  <si>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</si>
  <si>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</si>
  <si>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</si>
  <si>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</si>
  <si>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</si>
  <si>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</si>
  <si>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</si>
  <si>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</si>
  <si>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</si>
  <si>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</si>
  <si>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</si>
  <si>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</si>
  <si>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</si>
  <si>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</si>
  <si>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</si>
  <si>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</si>
  <si>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</si>
  <si>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</si>
  <si>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</si>
  <si>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</si>
  <si>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</si>
  <si>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</si>
  <si>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</si>
  <si>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</si>
  <si>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</si>
  <si>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</si>
  <si>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</si>
  <si>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</si>
  <si>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</si>
  <si>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</si>
  <si>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</si>
  <si>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</si>
  <si>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</si>
  <si>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</si>
  <si>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</si>
  <si>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</si>
  <si>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</si>
  <si>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</si>
  <si>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</si>
  <si>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</si>
  <si>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</si>
  <si>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</si>
  <si>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</si>
  <si>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</si>
  <si>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</si>
  <si>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</si>
  <si>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</si>
  <si>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</si>
  <si>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</si>
  <si>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</si>
  <si>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</si>
  <si>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</si>
  <si>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</si>
  <si>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</si>
  <si>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</si>
  <si>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</si>
  <si>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</si>
  <si>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</si>
  <si>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</si>
  <si>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</si>
  <si>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</si>
  <si>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</si>
  <si>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</si>
  <si>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</si>
  <si>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</si>
  <si>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</si>
  <si>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</si>
  <si>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</si>
  <si>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</si>
  <si>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</si>
  <si>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</si>
  <si>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</si>
  <si>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</si>
  <si>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</si>
  <si>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</si>
  <si>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</si>
  <si>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</si>
  <si>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</si>
  <si>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</si>
  <si>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</si>
  <si>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</si>
  <si>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</si>
  <si>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</si>
  <si>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</si>
  <si>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</si>
  <si>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</si>
  <si>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</si>
  <si>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</si>
  <si>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</si>
  <si>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</si>
  <si>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</si>
  <si>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</si>
  <si>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</si>
  <si>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</si>
  <si>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</si>
  <si>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</si>
  <si>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</si>
  <si>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</si>
  <si>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</si>
  <si>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</si>
  <si>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</si>
  <si>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</si>
  <si>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</si>
  <si>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</si>
  <si>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</si>
  <si>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</si>
  <si>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</si>
  <si>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</si>
  <si>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</si>
  <si>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</si>
  <si>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</si>
  <si>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</si>
  <si>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</si>
  <si>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</si>
  <si>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</si>
  <si>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</si>
  <si>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</si>
  <si>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</si>
  <si>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</si>
  <si>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</si>
  <si>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</si>
  <si>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</si>
  <si>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</si>
  <si>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</si>
  <si>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</si>
  <si>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</si>
  <si>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</si>
  <si>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</si>
  <si>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</si>
  <si>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</si>
  <si>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</si>
  <si>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</si>
  <si>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</si>
  <si>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</si>
  <si>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</si>
  <si>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</si>
  <si>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</si>
  <si>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</si>
  <si>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</si>
  <si>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</si>
  <si>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</si>
  <si>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</si>
  <si>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</si>
  <si>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</si>
  <si>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</si>
  <si>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</si>
  <si>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</si>
  <si>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</si>
  <si>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</si>
  <si>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</si>
  <si>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</si>
  <si>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</si>
  <si>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</si>
  <si>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</si>
  <si>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</si>
  <si>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</si>
  <si>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</si>
  <si>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</si>
  <si>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</si>
  <si>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</si>
  <si>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</si>
  <si>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</si>
  <si>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</si>
  <si>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</si>
  <si>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</si>
  <si>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</si>
  <si>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</si>
  <si>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</si>
  <si>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</si>
  <si>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</si>
  <si>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</si>
  <si>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</si>
  <si>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</si>
  <si>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</si>
  <si>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</si>
  <si>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</si>
  <si>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</si>
  <si>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</si>
  <si>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</si>
  <si>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</si>
  <si>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</si>
  <si>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</si>
  <si>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</si>
  <si>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</si>
  <si>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</si>
  <si>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</si>
  <si>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</si>
  <si>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</si>
  <si>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</si>
  <si>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</si>
  <si>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</si>
  <si>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</si>
  <si>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</si>
  <si>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</si>
  <si>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</si>
  <si>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</si>
  <si>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</si>
  <si>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</si>
  <si>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</si>
  <si>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</si>
  <si>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</si>
  <si>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</si>
  <si>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</si>
  <si>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</si>
  <si>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</si>
  <si>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</si>
  <si>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</si>
  <si>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</si>
  <si>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</si>
  <si>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</si>
  <si>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</si>
  <si>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</si>
  <si>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</si>
  <si>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</si>
  <si>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</si>
  <si>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</si>
  <si>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</si>
  <si>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</si>
  <si>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</si>
  <si>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</si>
  <si>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</si>
  <si>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</si>
  <si>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</si>
  <si>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</si>
  <si>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</si>
  <si>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</si>
  <si>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</si>
  <si>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</si>
  <si>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</si>
  <si>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</si>
  <si>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</si>
  <si>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</si>
  <si>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</si>
  <si>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</si>
  <si>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</si>
  <si>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</si>
  <si>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</si>
  <si>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</si>
  <si>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</si>
  <si>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</si>
  <si>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</si>
  <si>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</si>
  <si>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</si>
  <si>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</si>
  <si>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</si>
  <si>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</si>
  <si>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</si>
  <si>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</si>
  <si>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</si>
  <si>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</si>
  <si>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</si>
  <si>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</si>
  <si>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</si>
  <si>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</si>
  <si>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</si>
  <si>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</si>
  <si>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</si>
  <si>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</si>
  <si>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</si>
  <si>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</si>
  <si>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</si>
  <si>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</si>
  <si>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</si>
  <si>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</si>
  <si>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</si>
  <si>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</si>
  <si>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</si>
  <si>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</si>
  <si>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</si>
  <si>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</si>
  <si>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</si>
  <si>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</si>
  <si>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</si>
  <si>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</si>
  <si>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</si>
  <si>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</si>
  <si>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</si>
  <si>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</si>
  <si>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</si>
  <si>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</si>
  <si>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</si>
  <si>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</si>
  <si>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</si>
  <si>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</si>
  <si>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</si>
  <si>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</si>
  <si>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</si>
  <si>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</si>
  <si>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</si>
  <si>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</si>
  <si>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</si>
  <si>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</si>
  <si>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</si>
  <si>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</si>
  <si>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</si>
  <si>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</si>
  <si>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</si>
  <si>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</si>
  <si>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</si>
  <si>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</si>
  <si>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</si>
  <si>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</si>
  <si>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</si>
  <si>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</si>
  <si>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</si>
  <si>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</si>
  <si>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</si>
  <si>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</si>
  <si>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</si>
  <si>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</si>
  <si>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</si>
  <si>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</si>
  <si>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</si>
  <si>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</si>
  <si>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</si>
  <si>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</si>
  <si>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</si>
  <si>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</si>
  <si>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</si>
  <si>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</si>
  <si>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</si>
  <si>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</si>
  <si>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</si>
  <si>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</si>
  <si>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</si>
  <si>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</si>
  <si>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</si>
  <si>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</si>
  <si>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</si>
  <si>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</si>
  <si>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</si>
  <si>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</si>
  <si>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</si>
  <si>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</si>
  <si>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</si>
  <si>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</si>
  <si>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</si>
  <si>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</si>
  <si>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</si>
  <si>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</si>
  <si>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</si>
  <si>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</si>
  <si>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</si>
  <si>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</si>
  <si>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</si>
  <si>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</si>
  <si>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</si>
  <si>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</si>
  <si>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</si>
  <si>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</si>
  <si>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</si>
  <si>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</si>
  <si>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</si>
  <si>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</si>
  <si>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</si>
  <si>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</si>
  <si>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</si>
  <si>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</si>
  <si>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</si>
  <si>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</si>
  <si>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</si>
  <si>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</si>
  <si>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</si>
  <si>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</si>
  <si>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</si>
  <si>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</si>
  <si>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</si>
  <si>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</si>
  <si>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</si>
  <si>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</si>
  <si>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</si>
  <si>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</si>
  <si>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</si>
  <si>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</si>
  <si>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</si>
  <si>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</si>
  <si>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</si>
  <si>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</si>
  <si>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</si>
  <si>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</si>
  <si>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</si>
  <si>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</si>
  <si>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</si>
  <si>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</si>
  <si>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</si>
  <si>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</si>
  <si>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</si>
  <si>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</si>
  <si>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</si>
  <si>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</si>
  <si>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</si>
  <si>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</si>
  <si>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</si>
  <si>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</si>
  <si>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</si>
  <si>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</si>
  <si>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</si>
  <si>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</si>
  <si>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</si>
  <si>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</si>
  <si>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</si>
  <si>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</si>
  <si>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</si>
  <si>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</si>
  <si>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</si>
  <si>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</si>
  <si>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</si>
  <si>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</si>
  <si>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</si>
  <si>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</si>
  <si>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</si>
  <si>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</si>
  <si>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</si>
  <si>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</si>
  <si>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</si>
  <si>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</si>
  <si>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</si>
  <si>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</si>
  <si>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</si>
  <si>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</si>
  <si>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</si>
  <si>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</si>
  <si>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</si>
  <si>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</si>
  <si>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</si>
  <si>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</si>
  <si>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</si>
  <si>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</si>
  <si>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</si>
  <si>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</si>
  <si>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</si>
  <si>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</si>
  <si>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</si>
  <si>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</si>
  <si>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</si>
  <si>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</si>
  <si>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</si>
  <si>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</si>
  <si>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</si>
  <si>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</si>
  <si>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</si>
  <si>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</si>
  <si>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</si>
  <si>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</si>
  <si>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</si>
  <si>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</si>
  <si>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</si>
  <si>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</si>
  <si>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</si>
  <si>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</si>
  <si>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</si>
  <si>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</si>
  <si>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</si>
  <si>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</si>
  <si>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</si>
  <si>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</si>
  <si>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</si>
  <si>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</si>
  <si>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</si>
  <si>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</si>
  <si>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</si>
  <si>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</si>
  <si>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</si>
  <si>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</si>
  <si>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</si>
  <si>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</si>
  <si>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</si>
  <si>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</si>
  <si>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</si>
  <si>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</si>
  <si>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</si>
  <si>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</si>
  <si>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</si>
  <si>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</si>
  <si>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</si>
  <si>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</si>
  <si>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</si>
  <si>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</si>
  <si>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</si>
  <si>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</si>
  <si>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</si>
  <si>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</si>
  <si>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</si>
  <si>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</si>
  <si>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</si>
  <si>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</si>
  <si>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</si>
  <si>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</si>
  <si>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</si>
  <si>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</si>
  <si>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</si>
  <si>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</si>
  <si>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</si>
  <si>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</si>
  <si>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</si>
  <si>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</si>
  <si>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</si>
  <si>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</si>
  <si>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</si>
  <si>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</si>
  <si>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</si>
  <si>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</si>
  <si>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</si>
  <si>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</si>
  <si>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</si>
  <si>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</si>
  <si>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</si>
  <si>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</si>
  <si>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</si>
  <si>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</si>
  <si>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</si>
  <si>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</si>
  <si>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</si>
  <si>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</si>
  <si>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</si>
  <si>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</si>
  <si>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</si>
  <si>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</si>
  <si>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</si>
  <si>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</si>
  <si>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</si>
  <si>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</si>
  <si>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</si>
  <si>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</si>
  <si>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</si>
  <si>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</si>
  <si>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</si>
  <si>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</si>
  <si>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</si>
  <si>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</si>
  <si>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</si>
  <si>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</si>
  <si>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</si>
  <si>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</si>
  <si>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</si>
  <si>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</si>
  <si>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</si>
  <si>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</si>
  <si>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</si>
  <si>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</si>
  <si>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</si>
  <si>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</si>
  <si>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</si>
  <si>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</si>
  <si>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</si>
  <si>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</si>
  <si>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</si>
  <si>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</si>
  <si>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</si>
  <si>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</si>
  <si>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</si>
  <si>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</si>
  <si>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</si>
  <si>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</si>
  <si>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</si>
  <si>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</si>
  <si>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</si>
  <si>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</si>
  <si>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</si>
  <si>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</si>
  <si>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</si>
  <si>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</si>
  <si>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</si>
  <si>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</si>
  <si>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</si>
  <si>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</si>
  <si>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</si>
  <si>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</si>
  <si>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</si>
  <si>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</si>
  <si>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</si>
  <si>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</si>
  <si>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</si>
  <si>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</si>
  <si>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</si>
  <si>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</si>
  <si>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</si>
  <si>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</si>
  <si>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</si>
  <si>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</si>
  <si>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</si>
  <si>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</si>
  <si>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</si>
  <si>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</si>
  <si>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</si>
  <si>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</si>
  <si>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</si>
  <si>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</si>
  <si>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</si>
  <si>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</si>
  <si>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</si>
  <si>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</si>
  <si>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</si>
  <si>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</si>
  <si>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</si>
  <si>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</si>
  <si>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</si>
  <si>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</si>
  <si>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</si>
  <si>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</si>
  <si>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</si>
  <si>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</si>
  <si>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</si>
  <si>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</si>
  <si>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</si>
  <si>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</si>
  <si>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</si>
  <si>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</si>
  <si>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</si>
  <si>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</si>
  <si>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</si>
  <si>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</si>
  <si>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</si>
  <si>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</si>
  <si>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</si>
  <si>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</si>
  <si>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</si>
  <si>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</si>
  <si>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</si>
  <si>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</si>
  <si>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</si>
  <si>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</si>
  <si>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</si>
  <si>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</si>
  <si>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</si>
  <si>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</si>
  <si>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</si>
  <si>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</si>
  <si>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</si>
  <si>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</si>
  <si>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</si>
  <si>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</si>
  <si>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</si>
  <si>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</si>
  <si>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</si>
  <si>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</si>
  <si>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</si>
  <si>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</si>
  <si>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</si>
  <si>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</si>
  <si>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</si>
  <si>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</si>
  <si>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</si>
  <si>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</si>
  <si>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</si>
  <si>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</si>
  <si>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</si>
  <si>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</si>
  <si>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</si>
  <si>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</si>
  <si>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</si>
  <si>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</si>
  <si>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</si>
  <si>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</si>
  <si>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</si>
  <si>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</si>
  <si>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</si>
  <si>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</si>
  <si>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</si>
  <si>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</si>
  <si>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</si>
  <si>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</si>
  <si>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</si>
  <si>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</si>
  <si>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</si>
  <si>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</si>
  <si>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</si>
  <si>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</si>
  <si>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</si>
  <si>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</si>
  <si>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</si>
  <si>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</si>
  <si>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</si>
  <si>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</si>
  <si>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</si>
  <si>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</si>
  <si>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</si>
  <si>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</si>
  <si>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</si>
  <si>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</si>
  <si>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</si>
  <si>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</si>
  <si>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</si>
  <si>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</si>
  <si>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</si>
  <si>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</si>
  <si>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</si>
  <si>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</si>
  <si>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</si>
  <si>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</si>
  <si>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</si>
  <si>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</si>
  <si>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</si>
  <si>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</si>
  <si>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</si>
  <si>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</si>
  <si>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</si>
  <si>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</si>
  <si>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</si>
  <si>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</si>
  <si>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</si>
  <si>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</si>
  <si>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</si>
  <si>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</si>
  <si>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</si>
  <si>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</si>
  <si>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</si>
  <si>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</si>
  <si>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</si>
  <si>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</si>
  <si>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</si>
  <si>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</si>
  <si>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</si>
  <si>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</si>
  <si>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</si>
  <si>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</si>
  <si>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</si>
  <si>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</si>
  <si>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</si>
  <si>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</si>
  <si>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</si>
  <si>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</si>
  <si>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</si>
  <si>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</si>
  <si>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</si>
  <si>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</si>
  <si>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</si>
  <si>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</si>
  <si>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</si>
  <si>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</si>
  <si>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</si>
  <si>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</si>
  <si>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</si>
  <si>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</si>
  <si>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</si>
  <si>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</si>
  <si>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</si>
  <si>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</si>
  <si>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</si>
  <si>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</si>
  <si>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</si>
  <si>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</si>
  <si>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</si>
  <si>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</si>
  <si>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</si>
  <si>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</si>
  <si>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</si>
  <si>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</si>
  <si>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</si>
  <si>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</si>
  <si>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</si>
  <si>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</si>
  <si>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</si>
  <si>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</si>
  <si>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</si>
  <si>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</si>
  <si>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</si>
  <si>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</si>
  <si>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</si>
  <si>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</si>
  <si>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</si>
  <si>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</si>
  <si>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</si>
  <si>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</si>
  <si>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</si>
  <si>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</si>
  <si>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</si>
  <si>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</si>
  <si>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</si>
  <si>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</si>
  <si>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</si>
  <si>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</si>
  <si>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</si>
  <si>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</si>
  <si>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</si>
  <si>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</si>
  <si>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</si>
  <si>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</si>
  <si>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</si>
  <si>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</si>
  <si>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</si>
  <si>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</si>
  <si>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</si>
  <si>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</si>
  <si>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</si>
  <si>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</si>
  <si>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</si>
  <si>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</si>
  <si>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</si>
  <si>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</si>
  <si>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</si>
  <si>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</si>
  <si>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</si>
  <si>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</si>
  <si>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</si>
  <si>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</si>
  <si>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</si>
  <si>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</si>
  <si>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</si>
  <si>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</si>
  <si>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</si>
  <si>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</si>
  <si>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</si>
  <si>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</si>
  <si>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</si>
  <si>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</si>
  <si>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</si>
  <si>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</si>
  <si>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</si>
  <si>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</si>
  <si>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</si>
  <si>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</si>
  <si>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</si>
  <si>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</si>
  <si>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</si>
  <si>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</si>
  <si>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</si>
  <si>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</si>
  <si>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</si>
  <si>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</si>
  <si>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</si>
  <si>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</si>
  <si>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</si>
  <si>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</si>
  <si>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</si>
  <si>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</si>
  <si>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</si>
  <si>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</si>
  <si>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</si>
  <si>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</si>
  <si>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</si>
  <si>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</si>
  <si>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</si>
  <si>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</si>
  <si>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</si>
  <si>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</si>
  <si>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</si>
  <si>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</si>
  <si>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</si>
  <si>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</si>
  <si>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</si>
  <si>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</si>
  <si>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</si>
  <si>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</si>
  <si>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</si>
  <si>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</si>
  <si>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</si>
  <si>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</si>
  <si>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</si>
  <si>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</si>
  <si>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</si>
  <si>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</si>
  <si>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</si>
  <si>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</si>
  <si>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</si>
  <si>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</si>
  <si>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</si>
  <si>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</si>
  <si>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</si>
  <si>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</si>
  <si>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</si>
  <si>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</si>
  <si>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</si>
  <si>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</si>
  <si>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</si>
  <si>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</si>
  <si>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</si>
  <si>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</si>
  <si>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</si>
  <si>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</si>
  <si>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</si>
  <si>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</si>
  <si>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</si>
  <si>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</si>
  <si>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</si>
  <si>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</si>
  <si>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</si>
  <si>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</si>
  <si>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</si>
  <si>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</si>
  <si>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</si>
  <si>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</si>
  <si>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</si>
  <si>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</si>
  <si>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</si>
  <si>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</si>
  <si>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</si>
  <si>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</si>
  <si>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</si>
  <si>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</si>
  <si>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</si>
  <si>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</si>
  <si>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</si>
  <si>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</si>
  <si>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</si>
  <si>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</si>
  <si>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</si>
  <si>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</si>
  <si>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</si>
  <si>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</si>
  <si>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</si>
  <si>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</si>
  <si>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</si>
  <si>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</si>
  <si>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</si>
  <si>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</si>
  <si>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</si>
  <si>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</si>
  <si>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</si>
  <si>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</si>
  <si>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</si>
  <si>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</si>
  <si>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</si>
  <si>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</si>
  <si>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</si>
  <si>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</si>
  <si>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</si>
  <si>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</si>
  <si>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</si>
  <si>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</si>
  <si>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</si>
  <si>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</si>
  <si>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</si>
  <si>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</si>
  <si>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</si>
  <si>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</si>
  <si>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</si>
  <si>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</si>
  <si>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</si>
  <si>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</si>
  <si>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</si>
  <si>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</si>
  <si>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</si>
  <si>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</si>
  <si>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</si>
  <si>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</si>
  <si>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</si>
  <si>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</si>
  <si>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</si>
  <si>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</si>
  <si>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</si>
  <si>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</si>
  <si>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</si>
  <si>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</si>
  <si>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</si>
  <si>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</si>
  <si>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</si>
  <si>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</si>
  <si>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</si>
  <si>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</si>
  <si>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</si>
  <si>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</si>
  <si>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</si>
  <si>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</si>
  <si>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</si>
  <si>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</si>
  <si>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</si>
  <si>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</si>
  <si>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</si>
  <si>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</si>
  <si>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</si>
  <si>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</si>
  <si>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</si>
  <si>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</si>
  <si>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</si>
  <si>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</si>
  <si>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</si>
  <si>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</si>
  <si>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</si>
  <si>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</si>
  <si>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</si>
  <si>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</si>
  <si>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</si>
  <si>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</si>
  <si>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</si>
  <si>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</si>
  <si>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</si>
  <si>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</si>
  <si>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</si>
  <si>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</si>
  <si>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</si>
  <si>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</si>
  <si>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</si>
  <si>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</si>
  <si>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</si>
  <si>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</si>
  <si>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</si>
  <si>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</si>
  <si>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</si>
  <si>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</si>
  <si>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</si>
  <si>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</si>
  <si>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</si>
  <si>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</si>
  <si>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</si>
  <si>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</si>
  <si>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</si>
  <si>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</si>
  <si>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</si>
  <si>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</si>
  <si>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</si>
  <si>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</si>
  <si>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</si>
  <si>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</si>
  <si>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</si>
  <si>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</si>
  <si>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</si>
  <si>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</si>
  <si>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</si>
  <si>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</si>
  <si>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</si>
  <si>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</si>
  <si>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</si>
  <si>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</si>
  <si>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</si>
  <si>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</si>
  <si>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</si>
  <si>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</si>
  <si>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</si>
  <si>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</si>
  <si>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</si>
  <si>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</si>
  <si>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</si>
  <si>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</si>
  <si>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</si>
  <si>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</si>
  <si>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</si>
  <si>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</si>
  <si>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</si>
  <si>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</si>
  <si>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</si>
  <si>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</si>
  <si>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</si>
  <si>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</si>
  <si>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</si>
  <si>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</si>
  <si>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</si>
  <si>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</si>
  <si>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</si>
  <si>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</si>
  <si>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</si>
  <si>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</si>
  <si>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</si>
  <si>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</si>
  <si>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</si>
  <si>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</si>
  <si>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</si>
  <si>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</si>
  <si>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</si>
  <si>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</si>
  <si>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</si>
  <si>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</si>
  <si>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</si>
  <si>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</si>
  <si>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</si>
  <si>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</si>
  <si>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</si>
  <si>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</si>
  <si>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</si>
  <si>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</si>
  <si>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</si>
  <si>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</si>
  <si>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</si>
  <si>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</si>
  <si>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</si>
  <si>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</si>
  <si>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</si>
  <si>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</si>
  <si>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</si>
  <si>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</si>
  <si>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</si>
  <si>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</si>
  <si>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</si>
  <si>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</si>
  <si>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</si>
  <si>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</si>
  <si>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</si>
  <si>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</si>
  <si>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</si>
  <si>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</si>
  <si>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</si>
  <si>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</si>
  <si>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</si>
  <si>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</si>
  <si>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</si>
  <si>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</si>
  <si>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</si>
  <si>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</si>
  <si>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</si>
  <si>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</si>
  <si>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</si>
  <si>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</si>
  <si>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</si>
  <si>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</si>
  <si>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</si>
  <si>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</si>
  <si>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</si>
  <si>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</si>
  <si>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</si>
  <si>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</si>
  <si>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</si>
  <si>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</si>
  <si>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</si>
  <si>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</si>
  <si>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</si>
  <si>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</si>
  <si>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</si>
  <si>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</si>
  <si>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</si>
  <si>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</si>
  <si>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</si>
  <si>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</si>
  <si>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</si>
  <si>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</si>
  <si>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</si>
  <si>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</si>
  <si>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</si>
  <si>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</si>
  <si>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</si>
  <si>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</si>
  <si>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</si>
  <si>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</si>
  <si>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</si>
  <si>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</si>
  <si>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</si>
  <si>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</si>
  <si>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</si>
  <si>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</si>
  <si>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</si>
  <si>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</si>
  <si>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</si>
  <si>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</si>
  <si>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</si>
  <si>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</si>
  <si>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</si>
  <si>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</si>
  <si>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</si>
  <si>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</si>
  <si>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</si>
  <si>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</si>
  <si>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</si>
  <si>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</si>
  <si>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</si>
  <si>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</si>
  <si>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</si>
  <si>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</si>
  <si>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</si>
  <si>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</si>
  <si>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</si>
  <si>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</si>
  <si>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</si>
  <si>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</si>
  <si>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</si>
  <si>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</si>
  <si>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</si>
  <si>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</si>
  <si>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</si>
  <si>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</si>
  <si>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</si>
  <si>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</si>
  <si>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</si>
  <si>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</si>
  <si>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</si>
  <si>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</si>
  <si>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</si>
  <si>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</si>
  <si>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</si>
  <si>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</si>
  <si>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</si>
  <si>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</si>
  <si>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</si>
  <si>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</si>
  <si>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</si>
  <si>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</si>
  <si>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</si>
  <si>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</si>
  <si>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</si>
  <si>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</si>
  <si>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</si>
  <si>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</si>
  <si>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</si>
  <si>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</si>
  <si>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</si>
  <si>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</si>
  <si>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</si>
  <si>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</si>
  <si>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</si>
  <si>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</si>
  <si>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</si>
  <si>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</si>
  <si>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</si>
  <si>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</si>
  <si>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</si>
  <si>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</si>
  <si>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</si>
  <si>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</si>
  <si>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</si>
  <si>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</si>
  <si>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</si>
  <si>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</si>
  <si>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</si>
  <si>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</si>
  <si>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</si>
  <si>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</si>
  <si>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</si>
  <si>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</si>
  <si>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</si>
  <si>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</si>
  <si>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</si>
  <si>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</si>
  <si>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</si>
  <si>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</si>
  <si>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</si>
  <si>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</si>
  <si>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</si>
  <si>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</si>
  <si>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</si>
  <si>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</si>
  <si>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</si>
  <si>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</si>
  <si>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</si>
  <si>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</si>
  <si>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</si>
  <si>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</si>
  <si>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</si>
  <si>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</si>
  <si>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</si>
  <si>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</si>
  <si>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</si>
  <si>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</si>
  <si>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</si>
  <si>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</si>
  <si>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</si>
  <si>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</si>
  <si>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</si>
  <si>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</si>
  <si>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</si>
  <si>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</si>
  <si>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</si>
  <si>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</si>
  <si>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</si>
  <si>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</si>
  <si>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</si>
  <si>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</si>
  <si>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</si>
  <si>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</si>
  <si>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</si>
  <si>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</si>
  <si>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</si>
  <si>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</si>
  <si>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</si>
  <si>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</si>
  <si>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</si>
  <si>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</si>
  <si>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</si>
  <si>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</si>
  <si>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</si>
  <si>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</si>
  <si>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</si>
  <si>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</si>
  <si>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</si>
  <si>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</si>
  <si>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</si>
  <si>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</si>
  <si>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</si>
  <si>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</si>
  <si>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</si>
  <si>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</si>
  <si>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</si>
  <si>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</si>
  <si>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</si>
  <si>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</si>
  <si>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</si>
  <si>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</si>
  <si>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</si>
  <si>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</si>
  <si>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</si>
  <si>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</si>
  <si>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</si>
  <si>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</si>
  <si>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</si>
  <si>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</si>
  <si>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</si>
  <si>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</si>
  <si>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</si>
  <si>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</si>
  <si>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</si>
  <si>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</si>
  <si>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</si>
  <si>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</si>
  <si>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</si>
  <si>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</si>
  <si>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</si>
  <si>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</si>
  <si>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</si>
  <si>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</si>
  <si>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</si>
  <si>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</si>
  <si>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</si>
  <si>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</si>
  <si>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</si>
  <si>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</si>
  <si>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</si>
  <si>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</si>
  <si>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</si>
  <si>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</si>
  <si>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</si>
  <si>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</si>
  <si>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</si>
  <si>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</si>
  <si>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</si>
  <si>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</si>
  <si>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</si>
  <si>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</si>
  <si>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</si>
  <si>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</si>
  <si>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</si>
  <si>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</si>
  <si>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</si>
  <si>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</si>
  <si>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</si>
  <si>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</si>
  <si>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</si>
  <si>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</si>
  <si>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</si>
  <si>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</si>
  <si>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</si>
  <si>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</si>
  <si>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</si>
  <si>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</si>
  <si>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</si>
  <si>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</si>
  <si>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</si>
  <si>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</si>
  <si>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</si>
  <si>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</si>
  <si>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</si>
  <si>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</si>
  <si>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</si>
  <si>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</si>
  <si>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</si>
  <si>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</si>
  <si>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</si>
  <si>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</si>
  <si>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</si>
  <si>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</si>
  <si>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</si>
  <si>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</si>
  <si>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</si>
  <si>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</si>
  <si>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</si>
  <si>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</si>
  <si>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</si>
  <si>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</si>
  <si>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</si>
  <si>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</si>
  <si>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</si>
  <si>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</si>
  <si>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</si>
  <si>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</si>
  <si>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</si>
  <si>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</si>
  <si>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</si>
  <si>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</si>
  <si>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</si>
  <si>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</si>
  <si>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</si>
  <si>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</si>
  <si>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</si>
  <si>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</si>
  <si>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</si>
  <si>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</si>
  <si>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</si>
  <si>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</si>
  <si>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</si>
  <si>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</si>
  <si>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</si>
  <si>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</si>
  <si>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</si>
  <si>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</si>
  <si>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</si>
  <si>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</si>
  <si>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</si>
  <si>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</si>
  <si>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</si>
  <si>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</si>
  <si>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</si>
  <si>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</si>
  <si>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</si>
  <si>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</si>
  <si>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</si>
  <si>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</si>
  <si>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</si>
  <si>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</si>
  <si>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</si>
  <si>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</si>
  <si>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</si>
  <si>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</si>
  <si>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</si>
  <si>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</si>
  <si>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</si>
  <si>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</si>
  <si>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</si>
  <si>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</si>
  <si>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</si>
  <si>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</si>
  <si>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</si>
  <si>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</si>
  <si>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</si>
  <si>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</si>
  <si>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</si>
  <si>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</si>
  <si>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</si>
  <si>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</si>
  <si>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</si>
  <si>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</si>
  <si>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</si>
  <si>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</si>
  <si>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</si>
  <si>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</si>
  <si>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</si>
  <si>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</si>
  <si>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</si>
  <si>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</si>
  <si>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</si>
  <si>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</si>
  <si>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</si>
  <si>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</si>
  <si>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</si>
  <si>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</si>
  <si>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</si>
  <si>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</si>
  <si>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</si>
  <si>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</si>
  <si>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</si>
  <si>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</si>
  <si>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</si>
  <si>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</si>
  <si>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</si>
  <si>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</si>
  <si>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</si>
  <si>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</si>
  <si>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</si>
  <si>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</si>
  <si>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</si>
  <si>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</si>
  <si>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</si>
  <si>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</si>
  <si>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</si>
  <si>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</si>
  <si>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</si>
  <si>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</si>
  <si>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</si>
  <si>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</si>
  <si>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</si>
  <si>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</si>
  <si>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</si>
  <si>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</si>
  <si>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</si>
  <si>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</si>
  <si>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</si>
  <si>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</si>
  <si>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</si>
  <si>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</si>
  <si>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</si>
  <si>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</si>
  <si>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</si>
  <si>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</si>
  <si>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</si>
  <si>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</si>
  <si>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</si>
  <si>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</si>
  <si>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</si>
  <si>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</si>
  <si>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</si>
  <si>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</si>
  <si>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</si>
  <si>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</si>
  <si>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</si>
  <si>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</si>
  <si>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</si>
  <si>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</si>
  <si>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</si>
  <si>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</si>
  <si>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</si>
  <si>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</si>
  <si>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</si>
  <si>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</si>
  <si>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</si>
  <si>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</si>
  <si>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</si>
  <si>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</si>
  <si>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</si>
  <si>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</si>
  <si>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</si>
  <si>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</si>
  <si>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</si>
  <si>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</si>
  <si>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</si>
  <si>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</si>
  <si>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</si>
  <si>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</si>
  <si>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</si>
  <si>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</si>
  <si>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</si>
  <si>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</si>
  <si>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</si>
  <si>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</si>
  <si>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</si>
  <si>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</si>
  <si>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</si>
  <si>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</si>
  <si>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</si>
  <si>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</si>
  <si>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</si>
  <si>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</si>
  <si>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</si>
  <si>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</si>
  <si>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</si>
  <si>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</si>
  <si>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</si>
  <si>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</si>
  <si>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</si>
  <si>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</si>
  <si>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</si>
  <si>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</si>
  <si>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</si>
  <si>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</si>
  <si>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</si>
  <si>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</si>
  <si>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</si>
  <si>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</si>
  <si>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</si>
  <si>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</si>
  <si>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</si>
  <si>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</si>
  <si>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</si>
  <si>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</si>
  <si>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</si>
  <si>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</si>
  <si>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</si>
  <si>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</si>
  <si>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</si>
  <si>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</si>
  <si>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</si>
  <si>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</si>
  <si>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</si>
  <si>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</si>
  <si>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</si>
  <si>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</si>
  <si>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</si>
  <si>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</si>
  <si>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</si>
  <si>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</si>
  <si>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</si>
  <si>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</si>
  <si>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</si>
  <si>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</si>
  <si>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</si>
  <si>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</si>
  <si>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</si>
  <si>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</si>
  <si>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</si>
  <si>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</si>
  <si>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</si>
  <si>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</si>
  <si>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</si>
  <si>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</si>
  <si>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</si>
  <si>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</si>
  <si>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</si>
  <si>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</si>
  <si>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</si>
  <si>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</si>
  <si>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</si>
  <si>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</si>
  <si>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</si>
  <si>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</si>
  <si>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</si>
  <si>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</si>
  <si>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</si>
  <si>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</si>
  <si>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</si>
  <si>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</si>
  <si>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</si>
  <si>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</si>
  <si>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</si>
  <si>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</si>
  <si>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</si>
  <si>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</si>
  <si>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</si>
  <si>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</si>
  <si>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</si>
  <si>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</si>
  <si>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</si>
  <si>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</si>
  <si>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</si>
  <si>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</si>
  <si>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</si>
  <si>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</si>
  <si>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</si>
  <si>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</si>
  <si>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</si>
  <si>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</si>
  <si>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</si>
  <si>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</si>
  <si>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</si>
  <si>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</si>
  <si>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</si>
  <si>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</si>
  <si>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</si>
  <si>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</si>
  <si>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</si>
  <si>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</si>
  <si>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</si>
  <si>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</si>
  <si>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</si>
  <si>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</si>
  <si>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</si>
  <si>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</si>
  <si>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</si>
  <si>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</si>
  <si>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</si>
  <si>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</si>
  <si>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</si>
  <si>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</si>
  <si>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</si>
  <si>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</si>
  <si>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</si>
  <si>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</si>
  <si>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</si>
  <si>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</si>
  <si>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</si>
  <si>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</si>
  <si>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</si>
  <si>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</si>
  <si>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</si>
  <si>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</si>
  <si>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</si>
  <si>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</si>
  <si>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</si>
  <si>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</si>
  <si>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</si>
  <si>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</si>
  <si>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</si>
  <si>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</si>
  <si>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</si>
  <si>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</si>
  <si>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</si>
  <si>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</si>
  <si>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</si>
  <si>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</si>
  <si>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</si>
  <si>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</si>
  <si>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</si>
  <si>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</si>
  <si>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</si>
  <si>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</si>
  <si>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</si>
  <si>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</si>
  <si>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</si>
  <si>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</si>
  <si>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</si>
  <si>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</si>
  <si>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</si>
  <si>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</si>
  <si>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</si>
  <si>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</si>
  <si>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</si>
  <si>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</si>
  <si>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</si>
  <si>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</si>
  <si>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</si>
  <si>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</si>
  <si>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</si>
  <si>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</si>
  <si>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</si>
  <si>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</si>
  <si>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</si>
  <si>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</si>
  <si>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</si>
  <si>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</si>
  <si>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</si>
  <si>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</si>
  <si>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</si>
  <si>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</si>
  <si>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</si>
  <si>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</si>
  <si>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</si>
  <si>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</si>
  <si>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</si>
  <si>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</si>
  <si>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</si>
  <si>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</si>
  <si>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</si>
  <si>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</si>
  <si>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</si>
  <si>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</si>
  <si>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</si>
  <si>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</si>
  <si>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</si>
  <si>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</si>
  <si>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</si>
  <si>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</si>
  <si>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</si>
  <si>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</si>
  <si>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</si>
  <si>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</si>
  <si>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</si>
  <si>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</si>
  <si>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</si>
  <si>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</si>
  <si>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</si>
  <si>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</si>
  <si>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</si>
  <si>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</si>
  <si>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</si>
  <si>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</si>
  <si>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</si>
  <si>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</si>
  <si>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</si>
  <si>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</si>
  <si>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</si>
  <si>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</si>
  <si>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</si>
  <si>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</si>
  <si>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</si>
  <si>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</si>
  <si>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</si>
  <si>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</si>
  <si>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</si>
  <si>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</si>
  <si>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</si>
  <si>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</si>
  <si>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</si>
  <si>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</si>
  <si>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</si>
  <si>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</si>
  <si>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</si>
  <si>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</si>
  <si>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</si>
  <si>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</si>
  <si>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</si>
  <si>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</si>
  <si>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</si>
  <si>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</si>
  <si>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</si>
  <si>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</si>
  <si>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</si>
  <si>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</si>
  <si>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</si>
  <si>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</si>
  <si>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</si>
  <si>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</si>
  <si>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</si>
  <si>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</si>
  <si>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</si>
  <si>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</si>
  <si>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</si>
  <si>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</si>
  <si>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</si>
  <si>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</si>
  <si>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</si>
  <si>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</si>
  <si>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</si>
  <si>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</si>
  <si>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</si>
  <si>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</si>
  <si>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</si>
  <si>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</si>
  <si>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</si>
  <si>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</si>
  <si>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</si>
  <si>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</si>
  <si>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</si>
  <si>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</si>
  <si>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</si>
  <si>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</si>
  <si>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</si>
  <si>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</si>
  <si>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</si>
  <si>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</si>
  <si>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</si>
  <si>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</si>
  <si>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</si>
  <si>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</si>
  <si>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</si>
  <si>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</si>
  <si>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</si>
  <si>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</si>
  <si>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</si>
  <si>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</si>
  <si>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</si>
  <si>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</si>
  <si>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</si>
  <si>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</si>
  <si>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</si>
  <si>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</si>
  <si>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</si>
  <si>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</si>
  <si>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</si>
  <si>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</si>
  <si>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</si>
  <si>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</si>
  <si>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</si>
  <si>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</si>
  <si>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</si>
  <si>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</si>
  <si>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</si>
  <si>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</si>
  <si>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</si>
  <si>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</si>
  <si>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</si>
  <si>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</si>
  <si>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</si>
  <si>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</si>
  <si>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</si>
  <si>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</si>
  <si>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</si>
  <si>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</si>
  <si>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</si>
  <si>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</si>
  <si>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</si>
  <si>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</si>
  <si>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</si>
  <si>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</si>
  <si>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</si>
  <si>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</si>
  <si>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</si>
  <si>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</si>
  <si>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</si>
  <si>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</si>
  <si>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</si>
  <si>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</si>
  <si>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</si>
  <si>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</si>
  <si>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</si>
  <si>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</si>
  <si>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</si>
  <si>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</si>
  <si>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</si>
  <si>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</si>
  <si>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</si>
  <si>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</si>
  <si>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</si>
  <si>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</si>
  <si>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</si>
  <si>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</si>
  <si>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</si>
  <si>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</si>
  <si>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</si>
  <si>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</si>
  <si>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</si>
  <si>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</si>
  <si>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</si>
  <si>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</si>
  <si>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</si>
  <si>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</si>
  <si>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</si>
  <si>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</si>
  <si>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</si>
  <si>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</si>
  <si>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</si>
  <si>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</si>
  <si>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</si>
  <si>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</si>
  <si>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</si>
  <si>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</si>
  <si>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</si>
  <si>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</si>
  <si>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</si>
  <si>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</si>
  <si>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</si>
  <si>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</si>
  <si>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</si>
  <si>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</si>
  <si>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</si>
  <si>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</si>
  <si>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</si>
  <si>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</si>
  <si>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</si>
  <si>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</si>
  <si>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</si>
  <si>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</si>
  <si>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</si>
  <si>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</si>
  <si>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</si>
  <si>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</si>
  <si>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</si>
  <si>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</si>
  <si>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</si>
  <si>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</si>
  <si>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</si>
  <si>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</si>
  <si>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</si>
  <si>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</si>
  <si>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</si>
  <si>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</si>
  <si>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</si>
  <si>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</si>
  <si>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</si>
  <si>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</si>
  <si>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</si>
  <si>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</si>
  <si>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</si>
  <si>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</si>
  <si>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</si>
  <si>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</si>
  <si>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</si>
  <si>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</si>
  <si>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</si>
  <si>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</si>
  <si>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</si>
  <si>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</si>
  <si>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</si>
  <si>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</si>
  <si>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</si>
  <si>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</si>
  <si>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</si>
  <si>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</si>
  <si>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</si>
  <si>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</si>
  <si>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</si>
  <si>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</si>
  <si>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</si>
  <si>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</si>
  <si>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</si>
  <si>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</si>
  <si>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</si>
  <si>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</si>
  <si>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</si>
  <si>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</si>
  <si>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</si>
  <si>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</si>
  <si>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</si>
  <si>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</si>
  <si>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</si>
  <si>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</si>
  <si>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</si>
  <si>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</si>
  <si>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</si>
  <si>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</si>
  <si>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</si>
  <si>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</si>
  <si>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</si>
  <si>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</si>
  <si>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</si>
  <si>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</si>
  <si>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</si>
  <si>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</si>
  <si>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</si>
  <si>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</si>
  <si>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</si>
  <si>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</si>
  <si>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</si>
  <si>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</si>
  <si>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</si>
  <si>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</si>
  <si>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</si>
  <si>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</si>
  <si>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</si>
  <si>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</si>
  <si>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</si>
  <si>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</si>
  <si>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</si>
  <si>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</si>
  <si>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</si>
  <si>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</si>
  <si>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</si>
  <si>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</si>
  <si>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</si>
  <si>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</si>
  <si>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</si>
  <si>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</si>
  <si>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</si>
  <si>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</si>
  <si>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</si>
  <si>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</si>
  <si>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</si>
  <si>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</si>
  <si>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</si>
  <si>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</si>
  <si>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</si>
  <si>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</si>
  <si>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</si>
  <si>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</si>
  <si>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</si>
  <si>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</si>
  <si>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</si>
  <si>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</si>
  <si>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</si>
  <si>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</si>
  <si>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</si>
  <si>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</si>
  <si>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</si>
  <si>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</si>
  <si>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</si>
  <si>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</si>
  <si>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</si>
  <si>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</si>
  <si>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</si>
  <si>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</si>
  <si>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</si>
  <si>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</si>
  <si>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</si>
  <si>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</si>
  <si>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</si>
  <si>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</si>
  <si>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</si>
  <si>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</si>
  <si>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</si>
  <si>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</si>
  <si>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</si>
  <si>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</si>
  <si>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</si>
  <si>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</si>
  <si>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</si>
  <si>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</si>
  <si>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</si>
  <si>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</si>
  <si>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</si>
  <si>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</si>
  <si>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</si>
  <si>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</si>
  <si>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</si>
  <si>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</si>
  <si>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</si>
  <si>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</si>
  <si>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</si>
  <si>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</si>
  <si>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</si>
  <si>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</si>
  <si>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</si>
  <si>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</si>
  <si>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</si>
  <si>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</si>
  <si>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</si>
  <si>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</si>
  <si>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</si>
  <si>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</si>
  <si>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</si>
  <si>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</si>
  <si>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</si>
  <si>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</si>
  <si>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</si>
  <si>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</si>
  <si>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</si>
  <si>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</si>
  <si>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</si>
  <si>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</si>
  <si>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</si>
  <si>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</si>
  <si>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</si>
  <si>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</si>
  <si>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</si>
  <si>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</si>
  <si>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</si>
  <si>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</si>
  <si>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</si>
  <si>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</si>
  <si>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</si>
  <si>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</si>
  <si>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</si>
  <si>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بدهی به حسین 13/10/1399</t>
  </si>
  <si>
    <t>14/10/1399</t>
  </si>
  <si>
    <t>وغدیر 3695 تا 1141</t>
  </si>
  <si>
    <t>وغدیر 806229 تا 1285</t>
  </si>
  <si>
    <t>وغدیر 58152 تا 1171</t>
  </si>
  <si>
    <t>پارس 851 تا 16861.1</t>
  </si>
  <si>
    <t>وغدیر 46201 تا 1170</t>
  </si>
  <si>
    <t>پارس 2881 تا 16220</t>
  </si>
  <si>
    <t>وغدیر 42424 تا 1165</t>
  </si>
  <si>
    <t>طلب از داریوش 16/10/1399</t>
  </si>
  <si>
    <t>بدهی به رضا 2 عدد سکه 16/10/1399</t>
  </si>
  <si>
    <t>طلب از رضا مانده 2 عدد سکه 16/10/1399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</si>
</sst>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zoomScaleNormal="100" workbookViewId="0">
      <selection activeCell="J3" activeCellId="3" sqref="J2 J7 J10 J3"/>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16200</v>
      </c>
      <c r="J2" s="195">
        <f>B2*I2/$M$2</f>
        <v>250.72731089999999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4852</v>
      </c>
      <c r="B4" s="189">
        <v>346000000</v>
      </c>
      <c r="C4" s="187">
        <v>75</v>
      </c>
      <c r="D4" s="187">
        <f>B4*C4/$M$2</f>
        <v>0.36041666666666666</v>
      </c>
      <c r="E4" s="189">
        <v>100</v>
      </c>
      <c r="F4" s="189">
        <f>B4*E4/$M$2</f>
        <v>0.48055555555555557</v>
      </c>
      <c r="G4" s="189"/>
      <c r="H4" s="189"/>
      <c r="I4" s="189">
        <v>715</v>
      </c>
      <c r="J4" s="189">
        <f>B4*I4/$M$2</f>
        <v>3.4359722222222224</v>
      </c>
    </row>
    <row r="5" spans="1:20">
      <c r="A5" s="189" t="s">
        <v>4853</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16200</v>
      </c>
      <c r="J7" s="195">
        <f>B7*I7*$N$3/$M$2</f>
        <v>170.54564806760604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4853</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10200</v>
      </c>
      <c r="J10" s="210">
        <f t="shared" si="3"/>
        <v>394.20283668479777</v>
      </c>
    </row>
    <row r="11" spans="1:20">
      <c r="A11" s="196" t="s">
        <v>4860</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4861</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23233</v>
      </c>
      <c r="J14" s="189">
        <f>B14*I14*$N$3/$M$2</f>
        <v>177.00702052752047</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2798.2393469906792</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1235</v>
      </c>
      <c r="J24" s="210">
        <f>I24/J21</f>
        <v>0.44134895084230752</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1</v>
      </c>
      <c r="R97" s="97" t="s">
        <v>5848</v>
      </c>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71192797</v>
      </c>
      <c r="Q102" s="97"/>
      <c r="R102" s="97"/>
    </row>
    <row r="103" spans="15:18">
      <c r="P103" t="s">
        <v>4928</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abSelected="1" topLeftCell="J26" zoomScale="80" zoomScaleNormal="80" workbookViewId="0">
      <selection activeCell="K48" sqref="K4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827</v>
      </c>
      <c r="T20" s="166" t="s">
        <v>4284</v>
      </c>
      <c r="U20" s="166">
        <v>192.1</v>
      </c>
      <c r="V20" s="166">
        <f t="shared" ref="V20:V64" si="6">U20*(1+$R$91+$Q$15*S20/36500)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5355652801.334301</v>
      </c>
      <c r="M21" s="166" t="s">
        <v>4276</v>
      </c>
      <c r="N21" s="111">
        <f>O21*P21</f>
        <v>2999806335</v>
      </c>
      <c r="O21" s="97">
        <v>2544365</v>
      </c>
      <c r="P21" s="183">
        <f>P45</f>
        <v>1179</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21800</v>
      </c>
      <c r="Q22" s="167">
        <v>1614398</v>
      </c>
      <c r="R22" s="166" t="s">
        <v>4398</v>
      </c>
      <c r="S22" s="166">
        <f>S21-3</f>
        <v>765</v>
      </c>
      <c r="T22" s="19" t="s">
        <v>5666</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15925000</v>
      </c>
      <c r="O23" s="97">
        <v>1000</v>
      </c>
      <c r="P23" s="183">
        <f>P43</f>
        <v>15925</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5599713839.334301</v>
      </c>
      <c r="G24" s="93">
        <f t="shared" si="0"/>
        <v>-5319407493.9523621</v>
      </c>
      <c r="H24" s="11"/>
      <c r="I24" s="94"/>
      <c r="J24" s="94"/>
      <c r="K24" s="166" t="s">
        <v>5846</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21800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15925</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364766094</v>
      </c>
      <c r="O28" s="67">
        <v>309386</v>
      </c>
      <c r="P28" s="97">
        <f>P45</f>
        <v>1179</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5631</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-5355652801.334301</v>
      </c>
      <c r="P31" t="s">
        <v>25</v>
      </c>
      <c r="Q31" s="167">
        <v>5368238</v>
      </c>
      <c r="R31" s="210" t="s">
        <v>5638</v>
      </c>
      <c r="S31" s="195">
        <f>S30-465</f>
        <v>130</v>
      </c>
      <c r="T31" s="210" t="s">
        <v>5639</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127</v>
      </c>
      <c r="T32" s="210" t="s">
        <v>5641</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126</v>
      </c>
      <c r="T33" s="210" t="s">
        <v>5643</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118</v>
      </c>
      <c r="T34" s="210" t="s">
        <v>5653</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117</v>
      </c>
      <c r="T35" s="210" t="s">
        <v>5656</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5862</v>
      </c>
      <c r="L36" s="115">
        <v>-300000</v>
      </c>
      <c r="M36" s="166" t="s">
        <v>5375</v>
      </c>
      <c r="N36" s="111">
        <v>-14000000</v>
      </c>
      <c r="O36" t="s">
        <v>25</v>
      </c>
      <c r="P36" t="s">
        <v>25</v>
      </c>
      <c r="Q36" s="167">
        <v>38191823</v>
      </c>
      <c r="R36" s="210" t="s">
        <v>5654</v>
      </c>
      <c r="S36" s="195">
        <f>S35-1</f>
        <v>116</v>
      </c>
      <c r="T36" s="210" t="s">
        <v>5655</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t="s">
        <v>5871</v>
      </c>
      <c r="L37" s="115">
        <v>2500000</v>
      </c>
      <c r="M37" s="166" t="s">
        <v>4939</v>
      </c>
      <c r="N37" s="111">
        <v>-47000000</v>
      </c>
      <c r="O37" s="293"/>
      <c r="P37" s="94" t="s">
        <v>25</v>
      </c>
      <c r="Q37" s="167">
        <v>70173463</v>
      </c>
      <c r="R37" s="210" t="s">
        <v>5657</v>
      </c>
      <c r="S37" s="195">
        <f>S36-3</f>
        <v>113</v>
      </c>
      <c r="T37" s="210" t="s">
        <v>5661</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111</v>
      </c>
      <c r="T38" s="210" t="s">
        <v>5660</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110</v>
      </c>
      <c r="T39" s="210" t="s">
        <v>5667</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-91192797</v>
      </c>
      <c r="M40" s="166"/>
      <c r="N40" s="111"/>
      <c r="O40" s="97"/>
      <c r="P40" s="97"/>
      <c r="Q40" s="167">
        <v>563902380</v>
      </c>
      <c r="R40" s="210" t="s">
        <v>5669</v>
      </c>
      <c r="S40" s="195">
        <f>S39-5</f>
        <v>105</v>
      </c>
      <c r="T40" s="210" t="s">
        <v>5671</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55862199</v>
      </c>
      <c r="O41" s="67">
        <v>47381</v>
      </c>
      <c r="P41" s="67">
        <f>P45</f>
        <v>1179</v>
      </c>
      <c r="Q41" s="167">
        <v>814638349</v>
      </c>
      <c r="R41" s="210" t="s">
        <v>5677</v>
      </c>
      <c r="S41" s="195">
        <f>S40-8</f>
        <v>97</v>
      </c>
      <c r="T41" s="210" t="s">
        <v>5678</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55862199</v>
      </c>
      <c r="M42" s="21" t="s">
        <v>5269</v>
      </c>
      <c r="N42" s="115">
        <f t="shared" ref="N42:N48" si="22">O42*P42</f>
        <v>0</v>
      </c>
      <c r="O42" s="67">
        <v>0</v>
      </c>
      <c r="P42" s="67">
        <v>91000</v>
      </c>
      <c r="Q42" s="167">
        <v>2537951</v>
      </c>
      <c r="R42" s="210" t="s">
        <v>5698</v>
      </c>
      <c r="S42" s="195">
        <f>S41-5</f>
        <v>92</v>
      </c>
      <c r="T42" s="210" t="s">
        <v>5699</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-63093975.941605836</v>
      </c>
      <c r="K43" s="97" t="s">
        <v>5516</v>
      </c>
      <c r="L43" s="115">
        <f>J152</f>
        <v>364610466</v>
      </c>
      <c r="M43" s="19" t="s">
        <v>4358</v>
      </c>
      <c r="N43" s="115">
        <f t="shared" si="22"/>
        <v>209525225</v>
      </c>
      <c r="O43" s="67">
        <v>13157</v>
      </c>
      <c r="P43" s="67">
        <v>15925</v>
      </c>
      <c r="Q43" s="167">
        <v>2352469</v>
      </c>
      <c r="R43" s="210" t="s">
        <v>5704</v>
      </c>
      <c r="S43" s="195">
        <f>S42-2</f>
        <v>90</v>
      </c>
      <c r="T43" s="210" t="s">
        <v>5705</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21800</v>
      </c>
      <c r="Q44" s="167"/>
      <c r="R44" s="210" t="s">
        <v>5709</v>
      </c>
      <c r="S44" s="195">
        <f>S43-1</f>
        <v>89</v>
      </c>
      <c r="T44" s="210" t="s">
        <v>5867</v>
      </c>
      <c r="U44" s="210">
        <v>16861.099999999999</v>
      </c>
      <c r="V44" s="210">
        <f t="shared" si="6"/>
        <v>18268.562999452053</v>
      </c>
      <c r="W44" s="32">
        <f t="shared" ref="W44:W46" si="25">V44*(1+$W$19/100)</f>
        <v>18633.934259441095</v>
      </c>
      <c r="X44" s="32">
        <f t="shared" ref="X44:X46" si="26">V44*(1+$X$19/100)</f>
        <v>18999.305519430134</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5872</v>
      </c>
      <c r="L45" s="115">
        <f>-20*P47</f>
        <v>-24400000</v>
      </c>
      <c r="M45" s="19" t="s">
        <v>4160</v>
      </c>
      <c r="N45" s="111">
        <f>O45*P45</f>
        <v>5127159744</v>
      </c>
      <c r="O45" s="97">
        <v>4348736</v>
      </c>
      <c r="P45" s="97">
        <v>1179</v>
      </c>
      <c r="Q45" s="167">
        <v>67414766</v>
      </c>
      <c r="R45" s="210" t="s">
        <v>5709</v>
      </c>
      <c r="S45" s="195">
        <f>S44</f>
        <v>89</v>
      </c>
      <c r="T45" s="210" t="s">
        <v>5716</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5873</v>
      </c>
      <c r="L46" s="115">
        <v>15040000</v>
      </c>
      <c r="M46" s="19" t="s">
        <v>5087</v>
      </c>
      <c r="N46" s="111">
        <f t="shared" si="22"/>
        <v>0</v>
      </c>
      <c r="O46" s="97">
        <v>0</v>
      </c>
      <c r="P46" s="97">
        <v>8100</v>
      </c>
      <c r="Q46" s="167">
        <v>23400057</v>
      </c>
      <c r="R46" s="210" t="s">
        <v>5713</v>
      </c>
      <c r="S46" s="195">
        <f>S45-1</f>
        <v>88</v>
      </c>
      <c r="T46" s="210" t="s">
        <v>5717</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1220000</v>
      </c>
      <c r="Q47" s="167"/>
      <c r="R47" s="210" t="s">
        <v>5719</v>
      </c>
      <c r="S47" s="195">
        <f>S46-4</f>
        <v>84</v>
      </c>
      <c r="T47" s="210" t="s">
        <v>5720</v>
      </c>
      <c r="U47" s="210">
        <v>1582</v>
      </c>
      <c r="V47" s="210">
        <f t="shared" si="6"/>
        <v>1707.9878794520548</v>
      </c>
      <c r="W47" s="32">
        <f t="shared" ref="W47:W57" si="27">V47*(1+$W$19/100)</f>
        <v>1742.147637041096</v>
      </c>
      <c r="X47" s="32">
        <f t="shared" ref="X47:X57"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83</v>
      </c>
      <c r="T48" s="210" t="s">
        <v>5722</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81</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62</v>
      </c>
      <c r="T50" s="210" t="s">
        <v>5741</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5742</v>
      </c>
      <c r="S51" s="195">
        <f>S50-1</f>
        <v>61</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60</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57</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55</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-102990191.81021079</v>
      </c>
      <c r="P55" t="s">
        <v>25</v>
      </c>
      <c r="Q55" s="167" t="s">
        <v>25</v>
      </c>
      <c r="R55" s="210" t="s">
        <v>5753</v>
      </c>
      <c r="S55" s="195">
        <f>S54-7</f>
        <v>48</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6</v>
      </c>
      <c r="T57" s="210" t="s">
        <v>5830</v>
      </c>
      <c r="U57" s="210">
        <v>1302</v>
      </c>
      <c r="V57" s="210">
        <f t="shared" si="6"/>
        <v>1327.7831671232877</v>
      </c>
      <c r="W57" s="32">
        <f t="shared" si="27"/>
        <v>1354.3388304657535</v>
      </c>
      <c r="X57" s="32">
        <f t="shared" si="28"/>
        <v>1380.8944938082193</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3258305898.8554883</v>
      </c>
      <c r="P58" t="s">
        <v>25</v>
      </c>
      <c r="Q58" s="167"/>
      <c r="R58" s="210" t="s">
        <v>5836</v>
      </c>
      <c r="S58" s="195">
        <f>S57-1</f>
        <v>5</v>
      </c>
      <c r="T58" s="210" t="s">
        <v>5837</v>
      </c>
      <c r="U58" s="210">
        <v>1250</v>
      </c>
      <c r="V58" s="210">
        <f t="shared" si="6"/>
        <v>1273.7945205479452</v>
      </c>
      <c r="W58" s="32">
        <f t="shared" ref="W58:W64" si="29">V58*(1+$W$19/100)</f>
        <v>1299.2704109589042</v>
      </c>
      <c r="X58" s="32">
        <f t="shared" ref="X58:X64" si="30">V58*(1+$X$19/100)</f>
        <v>1324.7463013698632</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5599713839.334301</v>
      </c>
      <c r="M59" s="166"/>
      <c r="N59" s="111">
        <f>N16+N17+N32</f>
        <v>641053</v>
      </c>
      <c r="Q59" s="167"/>
      <c r="R59" s="210" t="s">
        <v>5841</v>
      </c>
      <c r="S59" s="195">
        <f>S58-4</f>
        <v>1</v>
      </c>
      <c r="T59" s="210" t="s">
        <v>5842</v>
      </c>
      <c r="U59" s="210">
        <v>1195</v>
      </c>
      <c r="V59" s="210">
        <f t="shared" si="6"/>
        <v>1214.080712328767</v>
      </c>
      <c r="W59" s="32">
        <f t="shared" si="29"/>
        <v>1238.3623265753424</v>
      </c>
      <c r="X59" s="32">
        <f t="shared" si="30"/>
        <v>1262.6439408219178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v>
      </c>
      <c r="T60" s="210" t="s">
        <v>5854</v>
      </c>
      <c r="U60" s="210">
        <v>1190</v>
      </c>
      <c r="V60" s="210">
        <f t="shared" si="6"/>
        <v>1205.3493698630139</v>
      </c>
      <c r="W60" s="32">
        <f t="shared" si="29"/>
        <v>1229.4563572602742</v>
      </c>
      <c r="X60" s="32">
        <f t="shared" si="30"/>
        <v>1253.5633446575346</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5699713839.334301</v>
      </c>
      <c r="O61" s="94"/>
      <c r="P61" s="94"/>
      <c r="Q61" s="167"/>
      <c r="R61" s="210" t="s">
        <v>5852</v>
      </c>
      <c r="S61" s="195">
        <f>S59-7</f>
        <v>-6</v>
      </c>
      <c r="T61" s="210" t="s">
        <v>5853</v>
      </c>
      <c r="U61" s="210">
        <v>1147</v>
      </c>
      <c r="V61" s="210">
        <f t="shared" si="6"/>
        <v>1159.1550575342467</v>
      </c>
      <c r="W61" s="32">
        <f t="shared" si="29"/>
        <v>1182.3381586849316</v>
      </c>
      <c r="X61" s="32">
        <f t="shared" si="30"/>
        <v>1205.5212598356165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-8</v>
      </c>
      <c r="T62" s="210" t="s">
        <v>5868</v>
      </c>
      <c r="U62" s="210">
        <v>1170</v>
      </c>
      <c r="V62" s="210">
        <f t="shared" si="6"/>
        <v>1180.6037260273974</v>
      </c>
      <c r="W62" s="32">
        <f t="shared" si="29"/>
        <v>1204.2158005479455</v>
      </c>
      <c r="X62" s="32">
        <f t="shared" si="30"/>
        <v>1227.8278750684933</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1211134517.6758094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827</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765</v>
      </c>
      <c r="T71" s="188" t="s">
        <v>4460</v>
      </c>
      <c r="U71" s="166">
        <v>184.6</v>
      </c>
      <c r="V71" s="166">
        <f t="shared" ref="V71:V86" si="32">U71*(1+$R$91+$Q$15*S71/36500)</f>
        <v>295.73830356164382</v>
      </c>
      <c r="W71" s="32">
        <f t="shared" ref="W71:W78" si="33">V71*(1+$W$19/100)</f>
        <v>301.65306963287668</v>
      </c>
      <c r="X71" s="32">
        <f t="shared" ref="X71:X78" si="34">V71*(1+$X$19/100)</f>
        <v>307.5678357041096</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744</v>
      </c>
      <c r="T72" s="187" t="s">
        <v>4464</v>
      </c>
      <c r="U72" s="166">
        <v>168.5</v>
      </c>
      <c r="V72" s="166">
        <f t="shared" si="32"/>
        <v>267.2308438356165</v>
      </c>
      <c r="W72" s="32">
        <f t="shared" si="33"/>
        <v>272.57546071232883</v>
      </c>
      <c r="X72" s="32">
        <f t="shared" si="34"/>
        <v>277.92007758904117</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743</v>
      </c>
      <c r="T73" s="187" t="s">
        <v>4468</v>
      </c>
      <c r="U73" s="166">
        <v>166.7</v>
      </c>
      <c r="V73" s="166">
        <f t="shared" si="32"/>
        <v>264.24827287671235</v>
      </c>
      <c r="W73" s="32">
        <f t="shared" si="33"/>
        <v>269.53323833424662</v>
      </c>
      <c r="X73" s="32">
        <f t="shared" si="34"/>
        <v>274.81820379178083</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742</v>
      </c>
      <c r="T74" s="187" t="s">
        <v>4472</v>
      </c>
      <c r="U74" s="166">
        <v>166.6</v>
      </c>
      <c r="V74" s="166">
        <f t="shared" si="32"/>
        <v>263.9619528767123</v>
      </c>
      <c r="W74" s="32">
        <f t="shared" si="33"/>
        <v>269.24119193424656</v>
      </c>
      <c r="X74" s="32">
        <f t="shared" si="34"/>
        <v>274.52043099178081</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712</v>
      </c>
      <c r="T75" s="187" t="s">
        <v>4558</v>
      </c>
      <c r="U75" s="166">
        <v>172.2</v>
      </c>
      <c r="V75" s="166">
        <f t="shared" si="32"/>
        <v>268.87166465753421</v>
      </c>
      <c r="W75" s="32">
        <f t="shared" si="33"/>
        <v>274.24909795068493</v>
      </c>
      <c r="X75" s="32">
        <f t="shared" si="34"/>
        <v>279.62653124383559</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637</v>
      </c>
      <c r="T76" s="187" t="s">
        <v>4793</v>
      </c>
      <c r="U76" s="210">
        <v>183</v>
      </c>
      <c r="V76" s="210">
        <f t="shared" si="32"/>
        <v>275.20592876712328</v>
      </c>
      <c r="W76" s="32">
        <f t="shared" si="33"/>
        <v>280.71004734246577</v>
      </c>
      <c r="X76" s="32">
        <f t="shared" si="34"/>
        <v>286.2141659178082</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603</v>
      </c>
      <c r="T77" s="187" t="s">
        <v>4876</v>
      </c>
      <c r="U77" s="210">
        <v>218.5</v>
      </c>
      <c r="V77" s="210">
        <f t="shared" si="32"/>
        <v>322.89391232876716</v>
      </c>
      <c r="W77" s="32">
        <f t="shared" si="33"/>
        <v>329.35179057534253</v>
      </c>
      <c r="X77" s="32">
        <f t="shared" si="34"/>
        <v>335.80966882191785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587</v>
      </c>
      <c r="T78" s="187" t="s">
        <v>5665</v>
      </c>
      <c r="U78" s="210">
        <v>196.2</v>
      </c>
      <c r="V78" s="210">
        <f t="shared" si="32"/>
        <v>287.5313687671233</v>
      </c>
      <c r="W78" s="32">
        <f t="shared" si="33"/>
        <v>293.28199614246574</v>
      </c>
      <c r="X78" s="32">
        <f t="shared" si="34"/>
        <v>299.03262351780825</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89</v>
      </c>
      <c r="T79" s="187" t="s">
        <v>5710</v>
      </c>
      <c r="U79" s="210">
        <v>1550</v>
      </c>
      <c r="V79" s="210">
        <f t="shared" si="32"/>
        <v>1679.3846575342468</v>
      </c>
      <c r="W79" s="32">
        <f t="shared" ref="W79:W86" si="36">V79*(1+$W$19/100)</f>
        <v>1712.9723506849318</v>
      </c>
      <c r="X79" s="32">
        <f t="shared" ref="X79:X86" si="37">V79*(1+$X$19/100)</f>
        <v>1746.5600438356166</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6</v>
      </c>
      <c r="T80" s="187" t="s">
        <v>5831</v>
      </c>
      <c r="U80" s="210">
        <v>1275</v>
      </c>
      <c r="V80" s="210">
        <f t="shared" si="32"/>
        <v>1300.2484931506849</v>
      </c>
      <c r="W80" s="32">
        <f t="shared" si="36"/>
        <v>1326.2534630136986</v>
      </c>
      <c r="X80" s="32">
        <f t="shared" si="37"/>
        <v>1352.2584328767123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1</v>
      </c>
      <c r="T81" s="187" t="s">
        <v>5843</v>
      </c>
      <c r="U81" s="210">
        <v>1210</v>
      </c>
      <c r="V81" s="210">
        <f t="shared" si="32"/>
        <v>1229.3202191780822</v>
      </c>
      <c r="W81" s="32">
        <f t="shared" si="36"/>
        <v>1253.9066235616438</v>
      </c>
      <c r="X81" s="32">
        <f t="shared" si="37"/>
        <v>1278.4930279452055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v>
      </c>
      <c r="T82" s="187" t="s">
        <v>5851</v>
      </c>
      <c r="U82" s="210">
        <v>1175</v>
      </c>
      <c r="V82" s="210">
        <f t="shared" si="32"/>
        <v>1190.155890410959</v>
      </c>
      <c r="W82" s="32">
        <f t="shared" si="36"/>
        <v>1213.9590082191783</v>
      </c>
      <c r="X82" s="32">
        <f t="shared" si="37"/>
        <v>1237.7621260273975</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-6</v>
      </c>
      <c r="T83" s="187" t="s">
        <v>5855</v>
      </c>
      <c r="U83" s="210">
        <v>1148</v>
      </c>
      <c r="V83" s="210">
        <f t="shared" si="32"/>
        <v>1160.1656547945208</v>
      </c>
      <c r="W83" s="32">
        <f t="shared" si="36"/>
        <v>1183.3689678904113</v>
      </c>
      <c r="X83" s="32">
        <f t="shared" si="37"/>
        <v>1206.5722809863016</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5863</v>
      </c>
      <c r="S84" s="195">
        <f>S83-1</f>
        <v>-7</v>
      </c>
      <c r="T84" s="187" t="s">
        <v>5864</v>
      </c>
      <c r="U84" s="210">
        <v>1141</v>
      </c>
      <c r="V84" s="210">
        <f t="shared" si="32"/>
        <v>1152.2161863013698</v>
      </c>
      <c r="W84" s="32">
        <f t="shared" si="36"/>
        <v>1175.2605100273972</v>
      </c>
      <c r="X84" s="32">
        <f t="shared" si="37"/>
        <v>1198.3048337534246</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-8</v>
      </c>
      <c r="T85" s="187" t="s">
        <v>5866</v>
      </c>
      <c r="U85" s="210">
        <v>1171</v>
      </c>
      <c r="V85" s="210">
        <f t="shared" si="32"/>
        <v>1181.612789041096</v>
      </c>
      <c r="W85" s="32">
        <f t="shared" si="36"/>
        <v>1205.2450448219179</v>
      </c>
      <c r="X85" s="32">
        <f t="shared" si="37"/>
        <v>1228.87730060274</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331853060.7462979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827</v>
      </c>
      <c r="T95" s="5" t="s">
        <v>5632</v>
      </c>
      <c r="U95" s="166">
        <v>192</v>
      </c>
      <c r="V95" s="97">
        <f t="shared" ref="V95:V120" si="38">U95*(1+$R$91+$Q$15*S95/36500)</f>
        <v>316.72530410958905</v>
      </c>
      <c r="W95" s="32">
        <f t="shared" ref="W95" si="39">V95*(1+$W$19/100)</f>
        <v>323.05981019178085</v>
      </c>
      <c r="X95" s="32">
        <f t="shared" ref="X95" si="40">V95*(1+$X$19/100)</f>
        <v>329.39431627397261</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253</v>
      </c>
      <c r="T96" s="210" t="s">
        <v>5556</v>
      </c>
      <c r="U96" s="210">
        <v>8280.2000000000007</v>
      </c>
      <c r="V96" s="97">
        <f t="shared" si="38"/>
        <v>10013.098404383563</v>
      </c>
      <c r="W96" s="32">
        <f t="shared" ref="W96" si="42">V96*(1+$W$19/100)</f>
        <v>10213.360372471234</v>
      </c>
      <c r="X96" s="32">
        <f t="shared" ref="X96" si="43">V96*(1+$X$19/100)</f>
        <v>10413.622340558906</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176</v>
      </c>
      <c r="T97" s="210" t="s">
        <v>5756</v>
      </c>
      <c r="U97" s="210">
        <v>17019</v>
      </c>
      <c r="V97" s="97">
        <f t="shared" si="38"/>
        <v>19575.486936986301</v>
      </c>
      <c r="W97" s="32">
        <f t="shared" ref="W97" si="44">V97*(1+$W$19/100)</f>
        <v>19966.996675726026</v>
      </c>
      <c r="X97" s="32">
        <f t="shared" ref="X97" si="45">V97*(1+$X$19/100)</f>
        <v>20358.506414465755</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132</v>
      </c>
      <c r="T98" s="210" t="s">
        <v>5644</v>
      </c>
      <c r="U98" s="210">
        <v>1995.5</v>
      </c>
      <c r="V98" s="97">
        <f t="shared" si="38"/>
        <v>2227.8964767123289</v>
      </c>
      <c r="W98" s="32">
        <f t="shared" ref="W98:W99" si="46">V98*(1+$W$19/100)</f>
        <v>2272.4544062465757</v>
      </c>
      <c r="X98" s="32">
        <f t="shared" ref="X98:X99" si="47">V98*(1+$X$19/100)</f>
        <v>2317.012335780822</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127</v>
      </c>
      <c r="T99" s="210" t="s">
        <v>5700</v>
      </c>
      <c r="U99" s="210">
        <v>1751</v>
      </c>
      <c r="V99" s="97">
        <f t="shared" si="38"/>
        <v>1948.2057753424658</v>
      </c>
      <c r="W99" s="32">
        <f t="shared" si="46"/>
        <v>1987.1698908493152</v>
      </c>
      <c r="X99" s="32">
        <f t="shared" si="47"/>
        <v>2026.1340063561645</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10347.752332485157</v>
      </c>
      <c r="G100" s="197">
        <f>P45</f>
        <v>1179</v>
      </c>
      <c r="H100" s="197" t="s">
        <v>4715</v>
      </c>
      <c r="I100" s="197" t="s">
        <v>5326</v>
      </c>
      <c r="J100" s="211" t="s">
        <v>4220</v>
      </c>
      <c r="K100" s="197">
        <v>210</v>
      </c>
      <c r="L100" s="212">
        <f t="shared" ref="L100:L105" si="48">K100*$L$108</f>
        <v>2562000000</v>
      </c>
      <c r="M100" s="212">
        <f>N21+N28+N45+N41</f>
        <v>8547594372</v>
      </c>
      <c r="N100" s="181">
        <f t="shared" ref="N100:N105" si="49">L100-M100</f>
        <v>-5985594372</v>
      </c>
      <c r="P100" s="94"/>
      <c r="Q100" s="167">
        <v>106896832</v>
      </c>
      <c r="R100" s="210" t="s">
        <v>5702</v>
      </c>
      <c r="S100" s="210">
        <f>S99-36</f>
        <v>91</v>
      </c>
      <c r="T100" s="210" t="s">
        <v>5703</v>
      </c>
      <c r="U100" s="210">
        <v>1715</v>
      </c>
      <c r="V100" s="97">
        <f t="shared" si="38"/>
        <v>1860.7890958904111</v>
      </c>
      <c r="W100" s="32">
        <f t="shared" ref="W100" si="50">V100*(1+$W$19/100)</f>
        <v>1898.0048778082194</v>
      </c>
      <c r="X100" s="32">
        <f t="shared" ref="X100" si="51">V100*(1+$X$19/100)</f>
        <v>1935.2206597260276</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21800</v>
      </c>
      <c r="H101" s="210" t="s">
        <v>4877</v>
      </c>
      <c r="I101" s="210" t="s">
        <v>5327</v>
      </c>
      <c r="J101" s="32" t="s">
        <v>4362</v>
      </c>
      <c r="K101" s="210">
        <v>33</v>
      </c>
      <c r="L101" s="1">
        <f t="shared" si="48"/>
        <v>402600000</v>
      </c>
      <c r="M101" s="1">
        <f>N44+N26+N22</f>
        <v>0</v>
      </c>
      <c r="N101" s="111">
        <f t="shared" si="49"/>
        <v>402600000</v>
      </c>
      <c r="P101" s="94"/>
      <c r="Q101" s="167">
        <v>455942528</v>
      </c>
      <c r="R101" s="210" t="s">
        <v>5704</v>
      </c>
      <c r="S101" s="210">
        <f>S100-1</f>
        <v>90</v>
      </c>
      <c r="T101" s="210" t="s">
        <v>5706</v>
      </c>
      <c r="U101" s="210">
        <v>1631</v>
      </c>
      <c r="V101" s="97">
        <f t="shared" si="38"/>
        <v>1768.3972273972606</v>
      </c>
      <c r="W101" s="32">
        <f t="shared" ref="W101:W102" si="52">V101*(1+$W$19/100)</f>
        <v>1803.7651719452058</v>
      </c>
      <c r="X101" s="32">
        <f t="shared" ref="X101:X102" si="53">V101*(1+$X$19/100)</f>
        <v>1839.1331164931512</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15925</v>
      </c>
      <c r="H102" s="197" t="s">
        <v>4995</v>
      </c>
      <c r="I102" s="197" t="s">
        <v>5328</v>
      </c>
      <c r="J102" s="211" t="s">
        <v>4358</v>
      </c>
      <c r="K102" s="197">
        <v>0</v>
      </c>
      <c r="L102" s="212">
        <f t="shared" si="48"/>
        <v>0</v>
      </c>
      <c r="M102" s="212">
        <f>N43+N23</f>
        <v>225450225</v>
      </c>
      <c r="N102" s="181">
        <f t="shared" si="49"/>
        <v>-225450225</v>
      </c>
      <c r="P102" s="94"/>
      <c r="Q102" s="167">
        <v>834999909.33089697</v>
      </c>
      <c r="R102" s="210" t="s">
        <v>5709</v>
      </c>
      <c r="S102" s="210">
        <f>S101-1</f>
        <v>89</v>
      </c>
      <c r="T102" s="210" t="s">
        <v>5728</v>
      </c>
      <c r="U102" s="210">
        <v>1567.4</v>
      </c>
      <c r="V102" s="97">
        <f t="shared" si="38"/>
        <v>1698.2371046575345</v>
      </c>
      <c r="W102" s="32">
        <f t="shared" si="52"/>
        <v>1732.2018467506853</v>
      </c>
      <c r="X102" s="32">
        <f t="shared" si="53"/>
        <v>1766.1665888438358</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76</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12200000</v>
      </c>
      <c r="M104" s="212">
        <v>0</v>
      </c>
      <c r="N104" s="181">
        <f t="shared" si="49"/>
        <v>12200000</v>
      </c>
      <c r="Q104" s="167" t="s">
        <v>25</v>
      </c>
      <c r="R104" s="210" t="s">
        <v>5731</v>
      </c>
      <c r="S104" s="210">
        <f>S103-1</f>
        <v>75</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556</v>
      </c>
      <c r="L105" s="250">
        <f t="shared" si="48"/>
        <v>6783200000</v>
      </c>
      <c r="M105" s="250">
        <v>0</v>
      </c>
      <c r="N105" s="84">
        <f t="shared" si="49"/>
        <v>6783200000</v>
      </c>
      <c r="P105" t="s">
        <v>25</v>
      </c>
      <c r="Q105" s="167"/>
      <c r="R105" s="210" t="s">
        <v>5733</v>
      </c>
      <c r="S105" s="210">
        <f>S104-1</f>
        <v>74</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111192797</v>
      </c>
      <c r="O106" t="s">
        <v>25</v>
      </c>
      <c r="P106" t="s">
        <v>25</v>
      </c>
      <c r="Q106" s="167"/>
      <c r="R106" s="210" t="s">
        <v>5753</v>
      </c>
      <c r="S106" s="210">
        <f>S105-26</f>
        <v>48</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800</v>
      </c>
      <c r="L107" s="212"/>
      <c r="M107" s="212"/>
      <c r="N107" s="181"/>
      <c r="Q107" s="167"/>
      <c r="R107" s="210" t="s">
        <v>5771</v>
      </c>
      <c r="S107" s="210">
        <f>S106-8</f>
        <v>40</v>
      </c>
      <c r="T107" s="210" t="s">
        <v>5772</v>
      </c>
      <c r="U107" s="210">
        <v>14014</v>
      </c>
      <c r="V107" s="97">
        <f t="shared" si="38"/>
        <v>14657.031430136989</v>
      </c>
      <c r="W107" s="32">
        <f t="shared" ref="W107:W123" si="56">V107*(1+$W$19/100)</f>
        <v>14950.172058739729</v>
      </c>
      <c r="X107" s="32">
        <f t="shared" ref="X107:X123" si="57">V107*(1+$X$19/100)</f>
        <v>15243.31268734247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12200000</v>
      </c>
      <c r="M108" s="1">
        <f>K108*L108</f>
        <v>0</v>
      </c>
      <c r="N108" s="111">
        <f>SUM(N100:N106)-M108</f>
        <v>1098140843</v>
      </c>
      <c r="P108" s="112"/>
      <c r="Q108" s="167" t="s">
        <v>25</v>
      </c>
      <c r="R108" s="210" t="s">
        <v>5788</v>
      </c>
      <c r="S108" s="210">
        <f>S107-13</f>
        <v>27</v>
      </c>
      <c r="T108" s="210" t="s">
        <v>5810</v>
      </c>
      <c r="U108" s="210">
        <v>16700</v>
      </c>
      <c r="V108" s="97">
        <f t="shared" si="38"/>
        <v>17299.735890410961</v>
      </c>
      <c r="W108" s="32">
        <f t="shared" si="56"/>
        <v>17645.730608219179</v>
      </c>
      <c r="X108" s="32">
        <f t="shared" si="57"/>
        <v>17991.725326027401</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21</v>
      </c>
      <c r="T109" s="210" t="s">
        <v>5797</v>
      </c>
      <c r="U109" s="210">
        <v>1500</v>
      </c>
      <c r="V109" s="97">
        <f t="shared" si="38"/>
        <v>1546.9643835616439</v>
      </c>
      <c r="W109" s="32">
        <f t="shared" si="56"/>
        <v>1577.9036712328768</v>
      </c>
      <c r="X109" s="32">
        <f t="shared" si="57"/>
        <v>1608.8429589041098</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20</v>
      </c>
      <c r="T110" s="210" t="s">
        <v>5799</v>
      </c>
      <c r="U110" s="210">
        <v>1440</v>
      </c>
      <c r="V110" s="97">
        <f t="shared" si="38"/>
        <v>1483.9811506849317</v>
      </c>
      <c r="W110" s="32">
        <f t="shared" si="56"/>
        <v>1513.6607736986302</v>
      </c>
      <c r="X110" s="32">
        <f t="shared" si="57"/>
        <v>1543.340396712329</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19</v>
      </c>
      <c r="T111" s="210" t="s">
        <v>5801</v>
      </c>
      <c r="U111" s="210">
        <v>1362</v>
      </c>
      <c r="V111" s="97">
        <f t="shared" si="38"/>
        <v>1402.5540164383563</v>
      </c>
      <c r="W111" s="32">
        <f t="shared" si="56"/>
        <v>1430.6050967671233</v>
      </c>
      <c r="X111" s="32">
        <f t="shared" si="57"/>
        <v>1458.6561770958906</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18</v>
      </c>
      <c r="T112" s="210" t="s">
        <v>5809</v>
      </c>
      <c r="U112" s="210">
        <v>1330</v>
      </c>
      <c r="V112" s="97">
        <f t="shared" si="38"/>
        <v>1368.5809315068493</v>
      </c>
      <c r="W112" s="32">
        <f t="shared" si="56"/>
        <v>1395.9525501369862</v>
      </c>
      <c r="X112" s="32">
        <f t="shared" si="57"/>
        <v>1423.3241687671234</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14</v>
      </c>
      <c r="T113" s="210" t="s">
        <v>5817</v>
      </c>
      <c r="U113" s="210">
        <v>1390</v>
      </c>
      <c r="V113" s="97">
        <f t="shared" si="38"/>
        <v>1426.0562191780825</v>
      </c>
      <c r="W113" s="32">
        <f t="shared" si="56"/>
        <v>1454.5773435616443</v>
      </c>
      <c r="X113" s="32">
        <f t="shared" si="57"/>
        <v>1483.0984679452058</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13</v>
      </c>
      <c r="T114" s="210" t="s">
        <v>5819</v>
      </c>
      <c r="U114" s="210">
        <v>1350</v>
      </c>
      <c r="V114" s="97">
        <f t="shared" si="38"/>
        <v>1383.9830136986302</v>
      </c>
      <c r="W114" s="32">
        <f t="shared" si="56"/>
        <v>1411.6626739726028</v>
      </c>
      <c r="X114" s="32">
        <f t="shared" si="57"/>
        <v>1439.3423342465755</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11</v>
      </c>
      <c r="T115" s="210" t="s">
        <v>5821</v>
      </c>
      <c r="U115" s="210">
        <v>1228</v>
      </c>
      <c r="V115" s="97">
        <f t="shared" si="38"/>
        <v>1257.027901369863</v>
      </c>
      <c r="W115" s="32">
        <f t="shared" si="56"/>
        <v>1282.1684593972602</v>
      </c>
      <c r="X115" s="32">
        <f t="shared" si="57"/>
        <v>1307.3090174246577</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11</v>
      </c>
      <c r="T116" s="210" t="s">
        <v>5822</v>
      </c>
      <c r="U116" s="210">
        <v>15187</v>
      </c>
      <c r="V116" s="97">
        <f t="shared" si="38"/>
        <v>15545.995715068493</v>
      </c>
      <c r="W116" s="32">
        <f t="shared" si="56"/>
        <v>15856.915629369863</v>
      </c>
      <c r="X116" s="32">
        <f t="shared" si="57"/>
        <v>16167.835543671234</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7</v>
      </c>
      <c r="T117" s="210" t="s">
        <v>5827</v>
      </c>
      <c r="U117" s="210">
        <v>1325</v>
      </c>
      <c r="V117" s="97">
        <f t="shared" si="38"/>
        <v>1352.2550684931509</v>
      </c>
      <c r="W117" s="32">
        <f t="shared" si="56"/>
        <v>1379.3001698630139</v>
      </c>
      <c r="X117" s="32">
        <f t="shared" si="57"/>
        <v>1406.3452712328769</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1179</v>
      </c>
      <c r="H118" s="97" t="s">
        <v>4220</v>
      </c>
      <c r="I118" s="97">
        <v>102500</v>
      </c>
      <c r="J118" s="1">
        <f>I118*G118</f>
        <v>120847500</v>
      </c>
      <c r="K118" s="319" t="s">
        <v>4375</v>
      </c>
      <c r="L118" s="167">
        <v>1100000</v>
      </c>
      <c r="M118" s="167">
        <v>3191000</v>
      </c>
      <c r="N118" s="166">
        <f t="shared" si="58"/>
        <v>190.09090909090909</v>
      </c>
      <c r="Q118" s="167"/>
      <c r="R118" s="210" t="s">
        <v>5829</v>
      </c>
      <c r="S118" s="210">
        <f>S117-1</f>
        <v>6</v>
      </c>
      <c r="T118" s="210" t="s">
        <v>5865</v>
      </c>
      <c r="U118" s="210">
        <v>1285</v>
      </c>
      <c r="V118" s="97">
        <f t="shared" si="38"/>
        <v>1310.4465205479453</v>
      </c>
      <c r="W118" s="32">
        <f t="shared" si="56"/>
        <v>1336.6554509589041</v>
      </c>
      <c r="X118" s="32">
        <f t="shared" si="57"/>
        <v>1362.8643813698632</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15925</v>
      </c>
      <c r="H119" s="97" t="s">
        <v>4358</v>
      </c>
      <c r="I119" s="97">
        <v>13418</v>
      </c>
      <c r="J119" s="1">
        <f>I119*G119</f>
        <v>213681650</v>
      </c>
      <c r="K119" s="319" t="s">
        <v>4487</v>
      </c>
      <c r="L119" s="167">
        <v>1100000</v>
      </c>
      <c r="M119" s="167">
        <v>5623000</v>
      </c>
      <c r="N119" s="166">
        <f t="shared" si="58"/>
        <v>411.18181818181819</v>
      </c>
      <c r="Q119" s="167"/>
      <c r="R119" s="210" t="s">
        <v>5829</v>
      </c>
      <c r="S119" s="210">
        <f>S118</f>
        <v>6</v>
      </c>
      <c r="T119" s="210" t="s">
        <v>5869</v>
      </c>
      <c r="U119" s="210">
        <v>16220</v>
      </c>
      <c r="V119" s="97">
        <f t="shared" si="38"/>
        <v>16541.200438356165</v>
      </c>
      <c r="W119" s="32">
        <f t="shared" si="56"/>
        <v>16872.024447123287</v>
      </c>
      <c r="X119" s="32">
        <f t="shared" si="57"/>
        <v>17202.848455890413</v>
      </c>
      <c r="Z119" s="94"/>
      <c r="AA119" s="94">
        <v>2881</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-8</v>
      </c>
      <c r="T120" s="210" t="s">
        <v>5870</v>
      </c>
      <c r="U120" s="210">
        <v>1165</v>
      </c>
      <c r="V120" s="97">
        <f t="shared" si="38"/>
        <v>1175.5584109589042</v>
      </c>
      <c r="W120" s="32">
        <f t="shared" si="56"/>
        <v>1199.0695791780824</v>
      </c>
      <c r="X120" s="32">
        <f t="shared" si="57"/>
        <v>1222.5807473972604</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c r="S121" s="210"/>
      <c r="T121" s="210"/>
      <c r="U121" s="210"/>
      <c r="V121" s="97"/>
      <c r="W121" s="32"/>
      <c r="X121" s="32"/>
      <c r="Y121" s="94"/>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74529150</v>
      </c>
      <c r="J122" s="1">
        <v>0</v>
      </c>
      <c r="K122" s="255" t="s">
        <v>1070</v>
      </c>
      <c r="L122" s="167">
        <v>1100000</v>
      </c>
      <c r="M122" s="167">
        <v>3400000</v>
      </c>
      <c r="N122" s="166">
        <f t="shared" si="58"/>
        <v>209.09090909090909</v>
      </c>
      <c r="Q122" s="167" t="s">
        <v>25</v>
      </c>
      <c r="R122" s="210"/>
      <c r="S122" s="210"/>
      <c r="T122" s="210"/>
      <c r="U122" s="210"/>
      <c r="V122" s="97">
        <f>U122*(1+$R$91+$Q$15*S122/36500)</f>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U123*(1+$R$91+$Q$15*S123/36500)</f>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SUM(N41:N47)-SUM(Q95:Q123)</f>
        <v>3484769061.5136547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21800</v>
      </c>
      <c r="H126" s="210" t="s">
        <v>4362</v>
      </c>
      <c r="I126" s="210">
        <v>4386</v>
      </c>
      <c r="J126" s="111">
        <f>G126*I126</f>
        <v>95614800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4570</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1689</v>
      </c>
      <c r="S128" s="1">
        <f>S127*R128/R127</f>
        <v>56224334.044567786</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46268898</v>
      </c>
      <c r="J129" s="210"/>
      <c r="R129" s="32">
        <f>R127-R128</f>
        <v>2881</v>
      </c>
      <c r="S129" s="1">
        <f>R129*S127/R127</f>
        <v>95904266.65624617</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Q132" s="94"/>
      <c r="R132" s="94"/>
      <c r="S132" s="94" t="s">
        <v>25</v>
      </c>
      <c r="T132" s="120">
        <f>V133-V140</f>
        <v>2697114</v>
      </c>
      <c r="U132" s="310" t="s">
        <v>744</v>
      </c>
      <c r="V132" s="310">
        <v>1517230</v>
      </c>
      <c r="W132" s="88">
        <f>V132*$T$444</f>
        <v>3012759972.2401209</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2697114</v>
      </c>
      <c r="W133" s="88">
        <f>V133*$T$444</f>
        <v>5355652801.334301</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1179</v>
      </c>
      <c r="H134" s="210" t="s">
        <v>4220</v>
      </c>
      <c r="I134" s="210">
        <v>241029</v>
      </c>
      <c r="J134" s="1">
        <f>I134*G134</f>
        <v>284173191</v>
      </c>
      <c r="R134" t="s">
        <v>25</v>
      </c>
      <c r="T134" s="94"/>
      <c r="U134" s="310" t="s">
        <v>4410</v>
      </c>
      <c r="V134" s="310">
        <v>51866</v>
      </c>
      <c r="W134" s="88">
        <f>V134*$T$444</f>
        <v>102990191.81021079</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21800</v>
      </c>
      <c r="H135" s="210" t="s">
        <v>4362</v>
      </c>
      <c r="I135" s="210">
        <v>2535</v>
      </c>
      <c r="J135" s="1">
        <f>I135*G135</f>
        <v>55263000</v>
      </c>
      <c r="K135" t="s">
        <v>25</v>
      </c>
      <c r="Q135" t="s">
        <v>25</v>
      </c>
      <c r="R135" t="s">
        <v>25</v>
      </c>
      <c r="S135" t="s">
        <v>25</v>
      </c>
      <c r="T135" s="94" t="s">
        <v>25</v>
      </c>
      <c r="U135" s="310" t="s">
        <v>1071</v>
      </c>
      <c r="V135" s="310">
        <v>159774</v>
      </c>
      <c r="W135" s="88">
        <f>V135*$T$444</f>
        <v>317262848.61536688</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259513776</v>
      </c>
      <c r="J137" s="1">
        <f>SUM(J134:J136)</f>
        <v>339436191</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4425984</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1179</v>
      </c>
      <c r="H141" s="210" t="s">
        <v>4220</v>
      </c>
      <c r="I141" s="210">
        <v>68595</v>
      </c>
      <c r="J141" s="1">
        <f>G141*I141</f>
        <v>80873505</v>
      </c>
      <c r="K141" s="94"/>
      <c r="L141" s="94"/>
      <c r="M141" s="94"/>
      <c r="N141" s="94"/>
      <c r="O141" s="94"/>
      <c r="Q141" s="94" t="s">
        <v>25</v>
      </c>
      <c r="R141" s="94"/>
      <c r="S141" s="94"/>
      <c r="T141" s="94"/>
      <c r="U141" s="87"/>
      <c r="V141" s="87" t="s">
        <v>4946</v>
      </c>
      <c r="W141" s="140">
        <f>W132-R149</f>
        <v>-2971362.7598791122</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21800</v>
      </c>
      <c r="H142" s="210" t="s">
        <v>4362</v>
      </c>
      <c r="I142" s="210">
        <v>1703</v>
      </c>
      <c r="J142" s="1">
        <f>G142*I142</f>
        <v>37125400</v>
      </c>
      <c r="K142" s="94"/>
      <c r="L142" s="94"/>
      <c r="M142" s="94"/>
      <c r="N142" s="94"/>
      <c r="O142" s="94"/>
      <c r="Q142" s="94"/>
      <c r="R142" s="94"/>
      <c r="S142" s="94"/>
      <c r="T142" s="94"/>
      <c r="U142" s="87"/>
      <c r="V142" s="87" t="s">
        <v>4947</v>
      </c>
      <c r="W142" s="140">
        <f>W135+W134-R150</f>
        <v>55486946.425577641</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81679762</v>
      </c>
      <c r="J143" s="1">
        <f>SUM(J141:J142)</f>
        <v>117998905</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36" t="s">
        <v>4520</v>
      </c>
      <c r="R148" s="93">
        <f>SUM(N41:N47)</f>
        <v>5392547168</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1179</v>
      </c>
      <c r="H149" s="210" t="s">
        <v>4220</v>
      </c>
      <c r="I149" s="210">
        <v>309254</v>
      </c>
      <c r="J149" s="1">
        <f>G149*I149</f>
        <v>364610466</v>
      </c>
      <c r="P149" s="94"/>
      <c r="Q149" s="97" t="s">
        <v>4412</v>
      </c>
      <c r="R149" s="93">
        <f>SUM(N21:N23)</f>
        <v>3015731335</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21800</v>
      </c>
      <c r="H150" s="210" t="s">
        <v>4362</v>
      </c>
      <c r="I150" s="210">
        <v>0</v>
      </c>
      <c r="J150" s="1">
        <f>G150*I150</f>
        <v>0</v>
      </c>
      <c r="Q150" s="97" t="s">
        <v>4413</v>
      </c>
      <c r="R150" s="93">
        <f>SUM(N26:N28)</f>
        <v>364766094</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5846</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214610466</v>
      </c>
      <c r="J152" s="1">
        <f>SUM(J149:J150)</f>
        <v>364610466</v>
      </c>
      <c r="K152" t="s">
        <v>25</v>
      </c>
      <c r="Q152" s="97" t="s">
        <v>4415</v>
      </c>
      <c r="R152" s="93">
        <f>N20</f>
        <v>456</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1055</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5813</v>
      </c>
      <c r="R156" s="93">
        <v>-560</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5697</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1179</v>
      </c>
      <c r="H158" s="97" t="s">
        <v>4220</v>
      </c>
      <c r="I158" s="97">
        <v>19848</v>
      </c>
      <c r="J158" s="1">
        <f>G158*I158</f>
        <v>23400792</v>
      </c>
      <c r="N158" s="94"/>
      <c r="O158" s="94"/>
      <c r="P158" s="112"/>
      <c r="Q158" s="97" t="s">
        <v>5856</v>
      </c>
      <c r="R158" s="93">
        <f>439*P44</f>
        <v>9570200</v>
      </c>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21800</v>
      </c>
      <c r="H159" s="97" t="s">
        <v>5861</v>
      </c>
      <c r="I159" s="97">
        <v>1150</v>
      </c>
      <c r="J159" s="1">
        <f>G159*I159</f>
        <v>25070000</v>
      </c>
      <c r="N159" s="94"/>
      <c r="O159" s="94"/>
      <c r="P159" s="112"/>
      <c r="Q159" s="97" t="s">
        <v>5857</v>
      </c>
      <c r="R159" s="93">
        <f>711*P44</f>
        <v>15499800</v>
      </c>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5858</v>
      </c>
      <c r="R160" s="97">
        <f>-8020*P45</f>
        <v>-9455580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5081</v>
      </c>
      <c r="R161" s="93">
        <v>0</v>
      </c>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49670792</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t="s">
        <v>25</v>
      </c>
      <c r="Q164" s="97" t="s">
        <v>4420</v>
      </c>
      <c r="R164" s="93">
        <f>SUM(R148:R163)</f>
        <v>8788665814</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7511741</v>
      </c>
      <c r="H166" s="32" t="s">
        <v>5492</v>
      </c>
      <c r="I166" s="32">
        <f>O22+O26+O44+I150+O41</f>
        <v>47381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238602.56488549619</v>
      </c>
      <c r="H167" s="294" t="s">
        <v>5493</v>
      </c>
      <c r="I167" s="32">
        <f>(J149+N27+N45+N43+N28+N23+N21)/P44</f>
        <v>416596.0029357798</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7750343.5648854962</v>
      </c>
      <c r="H168" s="32" t="s">
        <v>5494</v>
      </c>
      <c r="I168" s="32">
        <f>I166+I167</f>
        <v>463977.0029357798</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356448.71961456968</v>
      </c>
      <c r="H169" s="32" t="s">
        <v>5469</v>
      </c>
      <c r="I169" s="32">
        <f>(W134+W135)/P44</f>
        <v>19277.662404843009</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2555351.9696693136</v>
      </c>
      <c r="H170" s="32" t="s">
        <v>481</v>
      </c>
      <c r="I170" s="32">
        <f>W132/P44</f>
        <v>138199.99872661105</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4838542.875601612</v>
      </c>
      <c r="H171" s="32" t="s">
        <v>5</v>
      </c>
      <c r="I171" s="32">
        <f>I168-I169-I170</f>
        <v>306499.3418043257</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5689</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5690</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5628</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5633</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5673</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5708</v>
      </c>
      <c r="R214" s="187" t="s">
        <v>5673</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5673</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5693</v>
      </c>
      <c r="R216" s="187" t="s">
        <v>5673</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5692</v>
      </c>
      <c r="R217" s="187" t="s">
        <v>5673</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5711</v>
      </c>
      <c r="R218" s="187" t="s">
        <v>5704</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5793</v>
      </c>
      <c r="R219" s="187" t="s">
        <v>5789</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5803</v>
      </c>
      <c r="R220" s="187" t="s">
        <v>5800</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5804</v>
      </c>
      <c r="R221" s="187" t="s">
        <v>5800</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5811</v>
      </c>
      <c r="R222" s="187" t="s">
        <v>5808</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5811</v>
      </c>
      <c r="R223" s="187" t="s">
        <v>5808</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5814</v>
      </c>
      <c r="R224" s="187" t="s">
        <v>5808</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5824</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5652</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5654</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5628</v>
      </c>
      <c r="AJ239" s="111">
        <v>200000</v>
      </c>
      <c r="AK239" s="97">
        <v>7</v>
      </c>
      <c r="AL239" s="20">
        <f t="shared" si="74"/>
        <v>127</v>
      </c>
      <c r="AM239" s="115">
        <f t="shared" si="75"/>
        <v>25400000</v>
      </c>
      <c r="AN239" s="20"/>
      <c r="AR239" t="s">
        <v>25</v>
      </c>
    </row>
    <row r="240" spans="4:45">
      <c r="G240" s="210" t="s">
        <v>5662</v>
      </c>
      <c r="H240" s="111">
        <v>10561447.246918</v>
      </c>
      <c r="J240" t="s">
        <v>25</v>
      </c>
      <c r="Q240" s="97" t="s">
        <v>4538</v>
      </c>
      <c r="R240" s="93">
        <v>-4000000</v>
      </c>
      <c r="T240" s="210" t="s">
        <v>5012</v>
      </c>
      <c r="U240" s="210">
        <v>300</v>
      </c>
      <c r="V240" s="111">
        <v>400</v>
      </c>
      <c r="W240" s="111">
        <f t="shared" si="62"/>
        <v>120000</v>
      </c>
      <c r="X240" s="36" t="s">
        <v>452</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4564</v>
      </c>
      <c r="R241" s="93">
        <v>16727037</v>
      </c>
      <c r="T241" s="210" t="s">
        <v>5021</v>
      </c>
      <c r="U241" s="210">
        <v>782</v>
      </c>
      <c r="V241" s="111">
        <v>409</v>
      </c>
      <c r="W241" s="111">
        <f t="shared" si="62"/>
        <v>319838</v>
      </c>
      <c r="X241" s="36" t="s">
        <v>744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4569</v>
      </c>
      <c r="R242" s="93">
        <v>46460683</v>
      </c>
      <c r="S242" t="s">
        <v>25</v>
      </c>
      <c r="T242" s="210" t="s">
        <v>5025</v>
      </c>
      <c r="U242" s="210">
        <v>1220</v>
      </c>
      <c r="V242" s="111">
        <v>409.9</v>
      </c>
      <c r="W242" s="111">
        <f t="shared" si="62"/>
        <v>500078</v>
      </c>
      <c r="X242" s="36" t="s">
        <v>744</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5800</v>
      </c>
      <c r="AJ245" s="111">
        <v>70000</v>
      </c>
      <c r="AK245" s="97">
        <v>1</v>
      </c>
      <c r="AL245" s="20">
        <f t="shared" si="74"/>
        <v>2</v>
      </c>
      <c r="AM245" s="115">
        <f t="shared" si="75"/>
        <v>140000</v>
      </c>
      <c r="AN245" s="20"/>
    </row>
    <row r="246" spans="7:44" ht="30">
      <c r="G246" s="210" t="s">
        <v>5672</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5694</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5698</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5702</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5709</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5713</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5715</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5719</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5721</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5392553014</v>
      </c>
      <c r="AM256" t="s">
        <v>25</v>
      </c>
    </row>
    <row r="257" spans="7:45">
      <c r="G257" s="210" t="s">
        <v>5723</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4646217263</v>
      </c>
      <c r="AM257" t="s">
        <v>25</v>
      </c>
    </row>
    <row r="258" spans="7:45">
      <c r="G258" s="210" t="s">
        <v>5724</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5726</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4429388046.5153036</v>
      </c>
      <c r="AN259" t="s">
        <v>25</v>
      </c>
    </row>
    <row r="260" spans="7:45" ht="30">
      <c r="G260" s="210" t="s">
        <v>5729</v>
      </c>
      <c r="H260" s="111">
        <v>4524496.4792809999</v>
      </c>
      <c r="Q260" s="97" t="s">
        <v>4943</v>
      </c>
      <c r="R260" s="93">
        <v>850000</v>
      </c>
      <c r="T260" s="210" t="s">
        <v>5108</v>
      </c>
      <c r="U260" s="210">
        <v>12</v>
      </c>
      <c r="V260" s="111">
        <v>481.86</v>
      </c>
      <c r="W260" s="111">
        <f t="shared" si="76"/>
        <v>5782.32</v>
      </c>
      <c r="X260" s="36" t="s">
        <v>5110</v>
      </c>
      <c r="AM260" t="s">
        <v>25</v>
      </c>
    </row>
    <row r="261" spans="7:45">
      <c r="G261" s="210" t="s">
        <v>5731</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5733</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5735</v>
      </c>
      <c r="H263" s="111">
        <v>2868508.1846330003</v>
      </c>
      <c r="Q263" s="97" t="s">
        <v>4967</v>
      </c>
      <c r="R263" s="93">
        <v>150000</v>
      </c>
      <c r="T263" s="187" t="s">
        <v>5135</v>
      </c>
      <c r="U263" s="187">
        <v>3173</v>
      </c>
      <c r="V263" s="186">
        <v>472.7</v>
      </c>
      <c r="W263" s="186">
        <f t="shared" si="76"/>
        <v>1499877.0999999999</v>
      </c>
      <c r="X263" s="275" t="s">
        <v>5263</v>
      </c>
    </row>
    <row r="264" spans="7:45">
      <c r="G264" s="210" t="s">
        <v>5736</v>
      </c>
      <c r="H264" s="111">
        <v>17450393.011856001</v>
      </c>
      <c r="Q264" s="97" t="s">
        <v>4995</v>
      </c>
      <c r="R264" s="93">
        <v>-144950</v>
      </c>
      <c r="T264" s="210" t="s">
        <v>5139</v>
      </c>
      <c r="U264" s="210">
        <v>191</v>
      </c>
      <c r="V264" s="111">
        <v>484.572</v>
      </c>
      <c r="W264" s="111">
        <f t="shared" si="76"/>
        <v>92553.252000000008</v>
      </c>
      <c r="X264" s="36" t="s">
        <v>5140</v>
      </c>
    </row>
    <row r="265" spans="7:45">
      <c r="G265" s="210" t="s">
        <v>5737</v>
      </c>
      <c r="H265" s="111">
        <v>31388943.254850004</v>
      </c>
      <c r="Q265" s="97" t="s">
        <v>5021</v>
      </c>
      <c r="R265" s="93">
        <v>320000</v>
      </c>
      <c r="T265" s="210" t="s">
        <v>5139</v>
      </c>
      <c r="U265" s="210">
        <v>-206</v>
      </c>
      <c r="V265" s="111">
        <v>484.572</v>
      </c>
      <c r="W265" s="111">
        <f t="shared" si="76"/>
        <v>-99821.831999999995</v>
      </c>
      <c r="X265" s="36" t="s">
        <v>5142</v>
      </c>
    </row>
    <row r="266" spans="7:45">
      <c r="G266" s="210" t="s">
        <v>5738</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843</v>
      </c>
      <c r="AM270" s="97">
        <f t="shared" si="78"/>
        <v>-80085000</v>
      </c>
      <c r="AN270" s="97"/>
    </row>
    <row r="271" spans="7:45">
      <c r="G271" s="210" t="s">
        <v>5750</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5649</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5649</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5673</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765</v>
      </c>
      <c r="AM288" s="97">
        <f t="shared" si="78"/>
        <v>-145058535</v>
      </c>
      <c r="AN288" s="97"/>
    </row>
    <row r="289" spans="7:44">
      <c r="G289" s="210" t="s">
        <v>5829</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750</v>
      </c>
      <c r="AM289" s="193">
        <f t="shared" si="78"/>
        <v>5325000</v>
      </c>
      <c r="AN289" s="193" t="s">
        <v>650</v>
      </c>
    </row>
    <row r="290" spans="7:44">
      <c r="G290" s="210" t="s">
        <v>5836</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750</v>
      </c>
      <c r="AM290" s="20">
        <f t="shared" si="78"/>
        <v>-110926500</v>
      </c>
      <c r="AN290" s="20"/>
    </row>
    <row r="291" spans="7:44">
      <c r="G291" s="210" t="s">
        <v>5844</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747</v>
      </c>
      <c r="AM291" s="193">
        <f t="shared" si="78"/>
        <v>-27788400</v>
      </c>
      <c r="AN291" s="147" t="s">
        <v>650</v>
      </c>
    </row>
    <row r="292" spans="7:44">
      <c r="G292" s="210" t="s">
        <v>5863</v>
      </c>
      <c r="H292" s="111">
        <v>260081.94096800001</v>
      </c>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743</v>
      </c>
      <c r="AM292" s="20">
        <f t="shared" si="78"/>
        <v>-276638218</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722</v>
      </c>
      <c r="AM293" s="20">
        <f t="shared" si="78"/>
        <v>169714764</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722</v>
      </c>
      <c r="AM294" s="147">
        <f t="shared" si="78"/>
        <v>169714764</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713</v>
      </c>
      <c r="AM295" s="147">
        <f t="shared" si="78"/>
        <v>320850000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713</v>
      </c>
      <c r="AM296" s="20">
        <f t="shared" si="78"/>
        <v>320850000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691</v>
      </c>
      <c r="AM298" s="119">
        <f t="shared" si="81"/>
        <v>199654776</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688</v>
      </c>
      <c r="AM299" s="119">
        <f t="shared" si="81"/>
        <v>12358193808</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686</v>
      </c>
      <c r="AM301" s="119">
        <f t="shared" si="81"/>
        <v>16204978062</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681</v>
      </c>
      <c r="AM302" s="119">
        <f t="shared" si="81"/>
        <v>56179849548</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664</v>
      </c>
      <c r="AM304" s="20">
        <f t="shared" si="81"/>
        <v>441560000</v>
      </c>
      <c r="AN304" s="97"/>
    </row>
    <row r="305" spans="7:40">
      <c r="G305" s="210" t="s">
        <v>6</v>
      </c>
      <c r="H305" s="1">
        <f>SUM(H202:H304)</f>
        <v>1363764183.2552731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664</v>
      </c>
      <c r="AM305" s="193">
        <f t="shared" si="81"/>
        <v>441560000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660</v>
      </c>
      <c r="AM306" s="20">
        <f t="shared" si="81"/>
        <v>1320000000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659</v>
      </c>
      <c r="AM307" s="20">
        <f t="shared" ref="AM307:AM312" si="82">AJ307*AL307</f>
        <v>-1358017775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659</v>
      </c>
      <c r="AM308" s="147">
        <f t="shared" si="82"/>
        <v>-285594125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659</v>
      </c>
      <c r="AM309" s="20">
        <f t="shared" si="82"/>
        <v>18452000000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658</v>
      </c>
      <c r="AM310" s="20">
        <f t="shared" si="82"/>
        <v>105280000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658</v>
      </c>
      <c r="AM311" s="147">
        <f t="shared" si="82"/>
        <v>46060000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649</v>
      </c>
      <c r="AM312" s="20">
        <f t="shared" si="82"/>
        <v>551650000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618</v>
      </c>
      <c r="AM315" s="20">
        <f t="shared" si="84"/>
        <v>679800000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617</v>
      </c>
      <c r="AM316" s="20">
        <f t="shared" si="84"/>
        <v>277650000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617</v>
      </c>
      <c r="AM317" s="147">
        <f t="shared" si="84"/>
        <v>339350000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616</v>
      </c>
      <c r="AM318" s="147">
        <f t="shared" si="84"/>
        <v>616000000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608</v>
      </c>
      <c r="AM319" s="20">
        <f t="shared" si="84"/>
        <v>-1622679040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608</v>
      </c>
      <c r="AM320" s="147">
        <f t="shared" si="84"/>
        <v>-929400960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608</v>
      </c>
      <c r="AM321" s="20">
        <f t="shared" si="84"/>
        <v>30400000000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600</v>
      </c>
      <c r="AM323" s="20">
        <f t="shared" si="86"/>
        <v>1200000000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597</v>
      </c>
      <c r="AM324" s="20">
        <f t="shared" si="86"/>
        <v>59700000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593</v>
      </c>
      <c r="AM325" s="20">
        <f t="shared" si="86"/>
        <v>59300000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586</v>
      </c>
      <c r="AM326" s="20">
        <f t="shared" si="86"/>
        <v>29300000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586</v>
      </c>
      <c r="AM327" s="147">
        <f t="shared" si="86"/>
        <v>29300000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583</v>
      </c>
      <c r="AM328" s="20">
        <f t="shared" si="86"/>
        <v>29150000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583</v>
      </c>
      <c r="AM329" s="193">
        <f t="shared" si="86"/>
        <v>29150000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581</v>
      </c>
      <c r="AM330" s="20">
        <f t="shared" si="86"/>
        <v>14525000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581</v>
      </c>
      <c r="AM331" s="147">
        <f t="shared" si="86"/>
        <v>20335000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574</v>
      </c>
      <c r="AM333" s="20">
        <f t="shared" si="88"/>
        <v>3903200000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573</v>
      </c>
      <c r="AM334" s="20">
        <f t="shared" si="88"/>
        <v>286500000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572</v>
      </c>
      <c r="AM335" s="20">
        <f t="shared" si="88"/>
        <v>486200000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567</v>
      </c>
      <c r="AM336" s="20">
        <f t="shared" si="88"/>
        <v>640851750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567</v>
      </c>
      <c r="AM337" s="252">
        <f t="shared" si="88"/>
        <v>17010000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562</v>
      </c>
      <c r="AM338" s="20">
        <f t="shared" si="88"/>
        <v>115772000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562</v>
      </c>
      <c r="AM339" s="147">
        <f t="shared" si="88"/>
        <v>115772000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560</v>
      </c>
      <c r="AM340" s="20">
        <f t="shared" si="88"/>
        <v>28000000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560</v>
      </c>
      <c r="AM341" s="252">
        <f t="shared" si="88"/>
        <v>28000000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558</v>
      </c>
      <c r="AM342" s="20">
        <f t="shared" si="88"/>
        <v>11160000000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551</v>
      </c>
      <c r="AM343" s="20">
        <f t="shared" si="88"/>
        <v>27550000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551</v>
      </c>
      <c r="AM344" s="147">
        <f t="shared" si="88"/>
        <v>27550000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544</v>
      </c>
      <c r="AM345" s="20">
        <f t="shared" si="88"/>
        <v>1349120000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544</v>
      </c>
      <c r="AM346" s="147">
        <f t="shared" si="88"/>
        <v>1349120000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532</v>
      </c>
      <c r="AM347" s="20">
        <f t="shared" si="88"/>
        <v>-12852854000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528</v>
      </c>
      <c r="AM348" s="20">
        <f t="shared" si="88"/>
        <v>211200000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525</v>
      </c>
      <c r="AM349" s="147">
        <f t="shared" si="88"/>
        <v>21000000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525</v>
      </c>
      <c r="AM350" s="20">
        <f t="shared" si="88"/>
        <v>21000000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520</v>
      </c>
      <c r="AM351" s="20">
        <f t="shared" si="88"/>
        <v>104000000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519</v>
      </c>
      <c r="AM352" s="20">
        <f t="shared" ref="AM352:AM381" si="91">AJ352*AL352</f>
        <v>259500000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517</v>
      </c>
      <c r="AM353" s="20">
        <f t="shared" si="91"/>
        <v>258500000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514</v>
      </c>
      <c r="AM354" s="20">
        <f t="shared" si="91"/>
        <v>128500000</v>
      </c>
      <c r="AN354" s="20"/>
    </row>
    <row r="355" spans="17:45" ht="30">
      <c r="Q355" s="97" t="s">
        <v>5108</v>
      </c>
      <c r="R355" s="93">
        <v>6022</v>
      </c>
      <c r="T355" s="187" t="s">
        <v>5628</v>
      </c>
      <c r="U355" s="187">
        <v>-66</v>
      </c>
      <c r="V355" s="186">
        <v>3031</v>
      </c>
      <c r="W355" s="186">
        <f t="shared" si="89"/>
        <v>-200046</v>
      </c>
      <c r="X355" s="275" t="s">
        <v>5591</v>
      </c>
      <c r="AH355" s="252">
        <v>89</v>
      </c>
      <c r="AI355" s="252" t="s">
        <v>5017</v>
      </c>
      <c r="AJ355" s="243">
        <v>245000</v>
      </c>
      <c r="AK355" s="252">
        <v>16</v>
      </c>
      <c r="AL355" s="252">
        <f t="shared" si="90"/>
        <v>514</v>
      </c>
      <c r="AM355" s="252">
        <f t="shared" si="91"/>
        <v>125930000</v>
      </c>
      <c r="AN355" s="252"/>
    </row>
    <row r="356" spans="17:45" ht="30">
      <c r="Q356" s="97" t="s">
        <v>5135</v>
      </c>
      <c r="R356" s="93">
        <v>400000</v>
      </c>
      <c r="T356" s="187" t="s">
        <v>5633</v>
      </c>
      <c r="U356" s="187">
        <v>-42</v>
      </c>
      <c r="V356" s="186">
        <v>2883</v>
      </c>
      <c r="W356" s="186">
        <f t="shared" si="89"/>
        <v>-121086</v>
      </c>
      <c r="X356" s="275" t="s">
        <v>5591</v>
      </c>
      <c r="AH356" s="20">
        <v>90</v>
      </c>
      <c r="AI356" s="20" t="s">
        <v>5053</v>
      </c>
      <c r="AJ356" s="115">
        <v>312598</v>
      </c>
      <c r="AK356" s="20">
        <v>0</v>
      </c>
      <c r="AL356" s="20">
        <f t="shared" si="90"/>
        <v>498</v>
      </c>
      <c r="AM356" s="20">
        <f t="shared" si="91"/>
        <v>155673804</v>
      </c>
      <c r="AN356" s="20"/>
    </row>
    <row r="357" spans="17:45">
      <c r="Q357" s="97" t="s">
        <v>5139</v>
      </c>
      <c r="R357" s="93">
        <v>92847</v>
      </c>
      <c r="T357" s="19" t="s">
        <v>5645</v>
      </c>
      <c r="U357" s="19">
        <v>25901</v>
      </c>
      <c r="V357" s="115">
        <v>2258.9090000000001</v>
      </c>
      <c r="W357" s="115">
        <f t="shared" si="89"/>
        <v>58508002.009000003</v>
      </c>
      <c r="X357" s="276" t="s">
        <v>5140</v>
      </c>
      <c r="AH357" s="20">
        <v>91</v>
      </c>
      <c r="AI357" s="20" t="s">
        <v>5053</v>
      </c>
      <c r="AJ357" s="115">
        <v>780000</v>
      </c>
      <c r="AK357" s="20">
        <v>0</v>
      </c>
      <c r="AL357" s="20">
        <f t="shared" si="90"/>
        <v>498</v>
      </c>
      <c r="AM357" s="20">
        <f t="shared" si="91"/>
        <v>388440000</v>
      </c>
      <c r="AN357" s="20"/>
    </row>
    <row r="358" spans="17:45" ht="18" customHeight="1">
      <c r="Q358" s="97" t="s">
        <v>5139</v>
      </c>
      <c r="R358" s="93">
        <v>-100000</v>
      </c>
      <c r="T358" s="19" t="s">
        <v>5647</v>
      </c>
      <c r="U358" s="19">
        <v>951</v>
      </c>
      <c r="V358" s="115">
        <v>2361.2150799999999</v>
      </c>
      <c r="W358" s="115">
        <f t="shared" si="89"/>
        <v>2245515.5410799999</v>
      </c>
      <c r="X358" s="276" t="s">
        <v>5140</v>
      </c>
      <c r="Z358" t="s">
        <v>25</v>
      </c>
      <c r="AH358" s="193">
        <v>92</v>
      </c>
      <c r="AI358" s="193" t="s">
        <v>5053</v>
      </c>
      <c r="AJ358" s="194">
        <v>-300000</v>
      </c>
      <c r="AK358" s="193">
        <v>1</v>
      </c>
      <c r="AL358" s="193">
        <f t="shared" si="90"/>
        <v>498</v>
      </c>
      <c r="AM358" s="193">
        <f t="shared" si="91"/>
        <v>-149400000</v>
      </c>
      <c r="AN358" s="193"/>
      <c r="AS358" t="s">
        <v>25</v>
      </c>
    </row>
    <row r="359" spans="17:45" ht="21" customHeight="1">
      <c r="Q359" s="97" t="s">
        <v>5143</v>
      </c>
      <c r="R359" s="93">
        <v>10000000</v>
      </c>
      <c r="T359" s="19" t="s">
        <v>5649</v>
      </c>
      <c r="U359" s="19">
        <v>7622</v>
      </c>
      <c r="V359" s="115">
        <v>2414.6810999999998</v>
      </c>
      <c r="W359" s="115">
        <f t="shared" si="89"/>
        <v>18404699.3442</v>
      </c>
      <c r="X359" s="276" t="s">
        <v>5140</v>
      </c>
      <c r="AH359" s="20">
        <v>93</v>
      </c>
      <c r="AI359" s="20" t="s">
        <v>5018</v>
      </c>
      <c r="AJ359" s="115">
        <v>300000</v>
      </c>
      <c r="AK359" s="20">
        <v>0</v>
      </c>
      <c r="AL359" s="20">
        <f t="shared" si="90"/>
        <v>497</v>
      </c>
      <c r="AM359" s="20">
        <f t="shared" si="91"/>
        <v>149100000</v>
      </c>
      <c r="AN359" s="20"/>
    </row>
    <row r="360" spans="17:45">
      <c r="Q360" s="97" t="s">
        <v>5148</v>
      </c>
      <c r="R360" s="93">
        <v>-400000</v>
      </c>
      <c r="T360" s="19" t="s">
        <v>5649</v>
      </c>
      <c r="U360" s="19">
        <v>-282</v>
      </c>
      <c r="V360" s="115">
        <v>2414.6810999999998</v>
      </c>
      <c r="W360" s="115">
        <f t="shared" si="89"/>
        <v>-680940.07019999996</v>
      </c>
      <c r="X360" s="276" t="s">
        <v>5650</v>
      </c>
      <c r="AH360" s="20">
        <v>94</v>
      </c>
      <c r="AI360" s="20" t="s">
        <v>5018</v>
      </c>
      <c r="AJ360" s="115">
        <v>8660000</v>
      </c>
      <c r="AK360" s="20">
        <v>8</v>
      </c>
      <c r="AL360" s="20">
        <f t="shared" si="90"/>
        <v>497</v>
      </c>
      <c r="AM360" s="20">
        <f t="shared" si="91"/>
        <v>4304020000</v>
      </c>
      <c r="AN360" s="20"/>
    </row>
    <row r="361" spans="17:45">
      <c r="Q361" s="97" t="s">
        <v>5152</v>
      </c>
      <c r="R361" s="93">
        <v>5649</v>
      </c>
      <c r="T361" s="19" t="s">
        <v>5649</v>
      </c>
      <c r="U361" s="19">
        <v>20162</v>
      </c>
      <c r="V361" s="115">
        <v>2414.6810999999998</v>
      </c>
      <c r="W361" s="115">
        <f t="shared" si="89"/>
        <v>48684800.338199995</v>
      </c>
      <c r="X361" s="276" t="s">
        <v>5651</v>
      </c>
      <c r="AH361" s="147">
        <v>95</v>
      </c>
      <c r="AI361" s="147" t="s">
        <v>5070</v>
      </c>
      <c r="AJ361" s="186">
        <v>200000</v>
      </c>
      <c r="AK361" s="147">
        <v>3</v>
      </c>
      <c r="AL361" s="147">
        <f t="shared" si="90"/>
        <v>489</v>
      </c>
      <c r="AM361" s="147">
        <f t="shared" si="91"/>
        <v>97800000</v>
      </c>
      <c r="AN361" s="147"/>
    </row>
    <row r="362" spans="17:45" ht="18.75" customHeight="1">
      <c r="Q362" s="97" t="s">
        <v>5154</v>
      </c>
      <c r="R362" s="93">
        <v>460000</v>
      </c>
      <c r="T362" s="19" t="s">
        <v>5649</v>
      </c>
      <c r="U362" s="19">
        <v>-20162</v>
      </c>
      <c r="V362" s="115">
        <v>2414.6810999999998</v>
      </c>
      <c r="W362" s="115">
        <f t="shared" si="89"/>
        <v>-48684800.338199995</v>
      </c>
      <c r="X362" s="276" t="s">
        <v>744</v>
      </c>
      <c r="Y362" t="s">
        <v>25</v>
      </c>
      <c r="AH362" s="147">
        <v>96</v>
      </c>
      <c r="AI362" s="147" t="s">
        <v>5073</v>
      </c>
      <c r="AJ362" s="186">
        <v>20000</v>
      </c>
      <c r="AK362" s="147">
        <v>1</v>
      </c>
      <c r="AL362" s="147">
        <f t="shared" si="90"/>
        <v>486</v>
      </c>
      <c r="AM362" s="147">
        <f t="shared" si="91"/>
        <v>9720000</v>
      </c>
      <c r="AN362" s="147"/>
    </row>
    <row r="363" spans="17:45">
      <c r="Q363" s="97" t="s">
        <v>5155</v>
      </c>
      <c r="R363" s="93">
        <v>1300000</v>
      </c>
      <c r="S363" t="s">
        <v>25</v>
      </c>
      <c r="T363" s="19" t="s">
        <v>5652</v>
      </c>
      <c r="U363" s="19">
        <v>977</v>
      </c>
      <c r="V363" s="115">
        <v>2317.971947</v>
      </c>
      <c r="W363" s="115">
        <f t="shared" si="89"/>
        <v>2264658.5922190002</v>
      </c>
      <c r="X363" s="276" t="s">
        <v>5140</v>
      </c>
      <c r="AA363" t="s">
        <v>25</v>
      </c>
      <c r="AH363" s="20">
        <v>97</v>
      </c>
      <c r="AI363" s="20" t="s">
        <v>5083</v>
      </c>
      <c r="AJ363" s="115">
        <v>14340000</v>
      </c>
      <c r="AK363" s="20">
        <v>7</v>
      </c>
      <c r="AL363" s="20">
        <f t="shared" si="90"/>
        <v>485</v>
      </c>
      <c r="AM363" s="20">
        <f t="shared" si="91"/>
        <v>6954900000</v>
      </c>
      <c r="AN363" s="20"/>
    </row>
    <row r="364" spans="17:45">
      <c r="Q364" s="97" t="s">
        <v>5155</v>
      </c>
      <c r="R364" s="93">
        <v>7300000</v>
      </c>
      <c r="T364" s="19" t="s">
        <v>5654</v>
      </c>
      <c r="U364" s="19">
        <v>10280</v>
      </c>
      <c r="V364" s="115">
        <v>2225.429357</v>
      </c>
      <c r="W364" s="115">
        <f t="shared" si="89"/>
        <v>22877413.789960001</v>
      </c>
      <c r="X364" s="276" t="s">
        <v>5140</v>
      </c>
      <c r="AH364" s="20">
        <v>98</v>
      </c>
      <c r="AI364" s="20" t="s">
        <v>5091</v>
      </c>
      <c r="AJ364" s="115">
        <v>10000000</v>
      </c>
      <c r="AK364" s="20">
        <v>6</v>
      </c>
      <c r="AL364" s="20">
        <f t="shared" si="90"/>
        <v>478</v>
      </c>
      <c r="AM364" s="20">
        <f t="shared" si="91"/>
        <v>4780000000</v>
      </c>
      <c r="AN364" s="20" t="s">
        <v>4689</v>
      </c>
    </row>
    <row r="365" spans="17:45">
      <c r="Q365" s="97" t="s">
        <v>977</v>
      </c>
      <c r="R365" s="93">
        <v>21203</v>
      </c>
      <c r="T365" s="19" t="s">
        <v>5657</v>
      </c>
      <c r="U365" s="19">
        <v>1022</v>
      </c>
      <c r="V365" s="115">
        <v>2311.6824240000001</v>
      </c>
      <c r="W365" s="115">
        <f t="shared" si="89"/>
        <v>2362539.4373280001</v>
      </c>
      <c r="X365" s="276" t="s">
        <v>5140</v>
      </c>
      <c r="AH365" s="20">
        <v>99</v>
      </c>
      <c r="AI365" s="20" t="s">
        <v>5096</v>
      </c>
      <c r="AJ365" s="115">
        <v>4033949</v>
      </c>
      <c r="AK365" s="20">
        <v>2</v>
      </c>
      <c r="AL365" s="20">
        <f t="shared" si="90"/>
        <v>472</v>
      </c>
      <c r="AM365" s="20">
        <f t="shared" si="91"/>
        <v>1904023928</v>
      </c>
      <c r="AN365" s="20" t="s">
        <v>5098</v>
      </c>
    </row>
    <row r="366" spans="17:45">
      <c r="Q366" s="97" t="s">
        <v>4257</v>
      </c>
      <c r="R366" s="93">
        <v>34550</v>
      </c>
      <c r="T366" s="19" t="s">
        <v>5658</v>
      </c>
      <c r="U366" s="19">
        <v>6818</v>
      </c>
      <c r="V366" s="115">
        <v>2352.988656</v>
      </c>
      <c r="W366" s="115">
        <f t="shared" si="89"/>
        <v>16042676.656608</v>
      </c>
      <c r="X366" s="276" t="s">
        <v>5140</v>
      </c>
      <c r="Y366" t="s">
        <v>25</v>
      </c>
      <c r="AH366" s="147">
        <v>100</v>
      </c>
      <c r="AI366" s="147" t="s">
        <v>5102</v>
      </c>
      <c r="AJ366" s="186">
        <v>11500000</v>
      </c>
      <c r="AK366" s="147">
        <v>2</v>
      </c>
      <c r="AL366" s="147">
        <f t="shared" si="90"/>
        <v>470</v>
      </c>
      <c r="AM366" s="147">
        <f t="shared" si="91"/>
        <v>5405000000</v>
      </c>
      <c r="AN366" s="147" t="s">
        <v>5104</v>
      </c>
    </row>
    <row r="367" spans="17:45">
      <c r="Q367" s="97" t="s">
        <v>5153</v>
      </c>
      <c r="R367" s="93">
        <v>-2134406</v>
      </c>
      <c r="T367" s="19" t="s">
        <v>5659</v>
      </c>
      <c r="U367" s="19">
        <v>8023</v>
      </c>
      <c r="V367" s="115">
        <v>2293.8167079999998</v>
      </c>
      <c r="W367" s="115">
        <f t="shared" si="89"/>
        <v>18403291.448284</v>
      </c>
      <c r="X367" s="276" t="s">
        <v>5140</v>
      </c>
      <c r="AH367" s="147">
        <v>101</v>
      </c>
      <c r="AI367" s="147" t="s">
        <v>5108</v>
      </c>
      <c r="AJ367" s="186">
        <v>250000</v>
      </c>
      <c r="AK367" s="147">
        <v>3</v>
      </c>
      <c r="AL367" s="147">
        <f t="shared" si="90"/>
        <v>468</v>
      </c>
      <c r="AM367" s="147">
        <f t="shared" si="91"/>
        <v>117000000</v>
      </c>
      <c r="AN367" s="147"/>
    </row>
    <row r="368" spans="17:45">
      <c r="Q368" s="97" t="s">
        <v>5191</v>
      </c>
      <c r="R368" s="93">
        <v>-618906</v>
      </c>
      <c r="T368" s="19" t="s">
        <v>5662</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465</v>
      </c>
      <c r="AM368" s="147">
        <f t="shared" si="91"/>
        <v>2790000000</v>
      </c>
      <c r="AN368" s="147" t="s">
        <v>5104</v>
      </c>
    </row>
    <row r="369" spans="16:45">
      <c r="Q369" s="97" t="s">
        <v>5194</v>
      </c>
      <c r="R369" s="93">
        <v>-54615</v>
      </c>
      <c r="T369" s="19" t="s">
        <v>5663</v>
      </c>
      <c r="U369" s="19">
        <v>542</v>
      </c>
      <c r="V369" s="115">
        <v>2263.4906230000001</v>
      </c>
      <c r="W369" s="115">
        <f t="shared" si="89"/>
        <v>1226811.9176660001</v>
      </c>
      <c r="X369" s="276" t="s">
        <v>5140</v>
      </c>
      <c r="AH369" s="147">
        <v>103</v>
      </c>
      <c r="AI369" s="147" t="s">
        <v>5135</v>
      </c>
      <c r="AJ369" s="186">
        <v>1500000</v>
      </c>
      <c r="AK369" s="147">
        <v>6</v>
      </c>
      <c r="AL369" s="147">
        <f t="shared" si="90"/>
        <v>464</v>
      </c>
      <c r="AM369" s="147">
        <f t="shared" si="91"/>
        <v>696000000</v>
      </c>
      <c r="AN369" s="147" t="s">
        <v>5104</v>
      </c>
    </row>
    <row r="370" spans="16:45">
      <c r="Q370" s="97" t="s">
        <v>5236</v>
      </c>
      <c r="R370" s="93">
        <v>18000000</v>
      </c>
      <c r="T370" s="19" t="s">
        <v>5664</v>
      </c>
      <c r="U370" s="19">
        <v>16629</v>
      </c>
      <c r="V370" s="115">
        <v>2367.7887540000002</v>
      </c>
      <c r="W370" s="115">
        <f t="shared" si="89"/>
        <v>39373959.190266006</v>
      </c>
      <c r="X370" s="276" t="s">
        <v>5140</v>
      </c>
      <c r="AH370" s="20">
        <v>104</v>
      </c>
      <c r="AI370" s="20" t="s">
        <v>960</v>
      </c>
      <c r="AJ370" s="115">
        <v>-3960043</v>
      </c>
      <c r="AK370" s="20">
        <v>2</v>
      </c>
      <c r="AL370" s="20">
        <f t="shared" si="90"/>
        <v>458</v>
      </c>
      <c r="AM370" s="20">
        <f t="shared" si="91"/>
        <v>-1813699694</v>
      </c>
      <c r="AN370" s="20"/>
    </row>
    <row r="371" spans="16:45">
      <c r="Q371" s="97" t="s">
        <v>5283</v>
      </c>
      <c r="R371" s="93">
        <v>20000000</v>
      </c>
      <c r="T371" s="19" t="s">
        <v>5669</v>
      </c>
      <c r="U371" s="19">
        <v>11765</v>
      </c>
      <c r="V371" s="115">
        <v>2354.7375320000001</v>
      </c>
      <c r="W371" s="115">
        <f t="shared" si="89"/>
        <v>27703487.063980002</v>
      </c>
      <c r="X371" s="276" t="s">
        <v>5140</v>
      </c>
      <c r="AH371" s="20">
        <v>105</v>
      </c>
      <c r="AI371" s="20" t="s">
        <v>5154</v>
      </c>
      <c r="AJ371" s="115">
        <v>230000</v>
      </c>
      <c r="AK371" s="20">
        <v>0</v>
      </c>
      <c r="AL371" s="20">
        <f t="shared" si="90"/>
        <v>456</v>
      </c>
      <c r="AM371" s="20">
        <f t="shared" si="91"/>
        <v>104880000</v>
      </c>
      <c r="AN371" s="20"/>
    </row>
    <row r="372" spans="16:45">
      <c r="Q372" s="97" t="s">
        <v>5290</v>
      </c>
      <c r="R372" s="93">
        <v>27694196</v>
      </c>
      <c r="T372" s="19" t="s">
        <v>5670</v>
      </c>
      <c r="U372" s="19">
        <v>3672</v>
      </c>
      <c r="V372" s="115">
        <v>2379.873826</v>
      </c>
      <c r="W372" s="115">
        <f t="shared" si="89"/>
        <v>8738896.6890719999</v>
      </c>
      <c r="X372" s="276" t="s">
        <v>5140</v>
      </c>
      <c r="AH372" s="147">
        <v>106</v>
      </c>
      <c r="AI372" s="147" t="s">
        <v>5154</v>
      </c>
      <c r="AJ372" s="186">
        <v>230000</v>
      </c>
      <c r="AK372" s="147">
        <v>1</v>
      </c>
      <c r="AL372" s="147">
        <f t="shared" si="90"/>
        <v>456</v>
      </c>
      <c r="AM372" s="147">
        <f t="shared" si="91"/>
        <v>104880000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455</v>
      </c>
      <c r="AM373" s="147">
        <f t="shared" si="91"/>
        <v>227500000</v>
      </c>
      <c r="AN373" s="147"/>
    </row>
    <row r="374" spans="16:45">
      <c r="Q374" s="97" t="s">
        <v>5366</v>
      </c>
      <c r="R374" s="93">
        <v>8481864</v>
      </c>
      <c r="T374" s="19" t="s">
        <v>5672</v>
      </c>
      <c r="U374" s="19">
        <v>1616</v>
      </c>
      <c r="V374" s="115">
        <v>2573.0760479999999</v>
      </c>
      <c r="W374" s="115">
        <f t="shared" si="89"/>
        <v>4158090.8935679998</v>
      </c>
      <c r="X374" s="276" t="s">
        <v>5140</v>
      </c>
      <c r="AH374" s="20">
        <v>108</v>
      </c>
      <c r="AI374" s="20" t="s">
        <v>5158</v>
      </c>
      <c r="AJ374" s="115">
        <v>-880000</v>
      </c>
      <c r="AK374" s="20">
        <v>4</v>
      </c>
      <c r="AL374" s="20">
        <f t="shared" si="90"/>
        <v>454</v>
      </c>
      <c r="AM374" s="20">
        <f t="shared" si="91"/>
        <v>-399520000</v>
      </c>
      <c r="AN374" s="20"/>
      <c r="AS374" t="s">
        <v>25</v>
      </c>
    </row>
    <row r="375" spans="16:45">
      <c r="Q375" s="97" t="s">
        <v>5374</v>
      </c>
      <c r="R375" s="93">
        <v>1558697</v>
      </c>
      <c r="T375" s="187" t="s">
        <v>5673</v>
      </c>
      <c r="U375" s="187">
        <v>-2272</v>
      </c>
      <c r="V375" s="186">
        <v>2639.970566</v>
      </c>
      <c r="W375" s="186">
        <f t="shared" si="89"/>
        <v>-5998013.1259519998</v>
      </c>
      <c r="X375" s="275" t="s">
        <v>5684</v>
      </c>
      <c r="AH375" s="193">
        <v>109</v>
      </c>
      <c r="AI375" s="193" t="s">
        <v>5162</v>
      </c>
      <c r="AJ375" s="194">
        <v>873000</v>
      </c>
      <c r="AK375" s="193">
        <v>0</v>
      </c>
      <c r="AL375" s="193">
        <f t="shared" si="90"/>
        <v>450</v>
      </c>
      <c r="AM375" s="193">
        <f t="shared" si="91"/>
        <v>392850000</v>
      </c>
      <c r="AN375" s="193" t="s">
        <v>5104</v>
      </c>
    </row>
    <row r="376" spans="16:45">
      <c r="Q376" s="97" t="s">
        <v>5379</v>
      </c>
      <c r="R376" s="93">
        <v>9042009</v>
      </c>
      <c r="T376" s="19" t="s">
        <v>5673</v>
      </c>
      <c r="U376" s="19">
        <v>2272</v>
      </c>
      <c r="V376" s="115">
        <v>2639.970566</v>
      </c>
      <c r="W376" s="115">
        <f t="shared" si="89"/>
        <v>5998013.1259519998</v>
      </c>
      <c r="X376" s="276" t="s">
        <v>5683</v>
      </c>
      <c r="Z376" t="s">
        <v>25</v>
      </c>
      <c r="AH376" s="20">
        <v>110</v>
      </c>
      <c r="AI376" s="20" t="s">
        <v>5162</v>
      </c>
      <c r="AJ376" s="115">
        <v>127000</v>
      </c>
      <c r="AK376" s="20">
        <v>0</v>
      </c>
      <c r="AL376" s="20">
        <f t="shared" si="90"/>
        <v>450</v>
      </c>
      <c r="AM376" s="20">
        <f t="shared" si="91"/>
        <v>57150000</v>
      </c>
      <c r="AN376" s="20" t="s">
        <v>5104</v>
      </c>
    </row>
    <row r="377" spans="16:45" ht="30">
      <c r="Q377" s="97" t="s">
        <v>5380</v>
      </c>
      <c r="R377" s="93">
        <v>94969</v>
      </c>
      <c r="T377" s="19" t="s">
        <v>5673</v>
      </c>
      <c r="U377" s="19">
        <v>4434</v>
      </c>
      <c r="V377" s="115">
        <v>2639.970566</v>
      </c>
      <c r="W377" s="115">
        <f t="shared" si="89"/>
        <v>11705629.489644</v>
      </c>
      <c r="X377" s="276" t="s">
        <v>5685</v>
      </c>
      <c r="AH377" s="20">
        <v>111</v>
      </c>
      <c r="AI377" s="20" t="s">
        <v>5162</v>
      </c>
      <c r="AJ377" s="115">
        <v>73000</v>
      </c>
      <c r="AK377" s="20">
        <v>1</v>
      </c>
      <c r="AL377" s="20">
        <f t="shared" si="90"/>
        <v>450</v>
      </c>
      <c r="AM377" s="20">
        <f t="shared" si="91"/>
        <v>32850000</v>
      </c>
      <c r="AN377" s="20"/>
      <c r="AR377" t="s">
        <v>25</v>
      </c>
    </row>
    <row r="378" spans="16:45" ht="30">
      <c r="Q378" s="97" t="s">
        <v>5384</v>
      </c>
      <c r="R378" s="93">
        <v>40000000</v>
      </c>
      <c r="T378" s="187" t="s">
        <v>5673</v>
      </c>
      <c r="U378" s="187">
        <v>-2349</v>
      </c>
      <c r="V378" s="186">
        <v>2639.970566</v>
      </c>
      <c r="W378" s="186">
        <f t="shared" si="89"/>
        <v>-6201290.859534</v>
      </c>
      <c r="X378" s="275" t="s">
        <v>5686</v>
      </c>
      <c r="AA378" t="s">
        <v>25</v>
      </c>
      <c r="AH378" s="20">
        <v>112</v>
      </c>
      <c r="AI378" s="20" t="s">
        <v>977</v>
      </c>
      <c r="AJ378" s="115">
        <v>4300000</v>
      </c>
      <c r="AK378" s="20">
        <v>1</v>
      </c>
      <c r="AL378" s="20">
        <f t="shared" si="90"/>
        <v>449</v>
      </c>
      <c r="AM378" s="20">
        <f t="shared" si="91"/>
        <v>1930700000</v>
      </c>
      <c r="AN378" s="20"/>
    </row>
    <row r="379" spans="16:45">
      <c r="Q379" s="97" t="s">
        <v>5384</v>
      </c>
      <c r="R379" s="93">
        <v>2806274</v>
      </c>
      <c r="T379" s="19" t="s">
        <v>5673</v>
      </c>
      <c r="U379" s="19">
        <v>2349</v>
      </c>
      <c r="V379" s="115">
        <v>2639.970566</v>
      </c>
      <c r="W379" s="115">
        <f t="shared" si="89"/>
        <v>6201290.859534</v>
      </c>
      <c r="X379" s="276" t="s">
        <v>5687</v>
      </c>
      <c r="AH379" s="20">
        <v>113</v>
      </c>
      <c r="AI379" s="20" t="s">
        <v>5031</v>
      </c>
      <c r="AJ379" s="115">
        <v>1600000</v>
      </c>
      <c r="AK379" s="20">
        <v>0</v>
      </c>
      <c r="AL379" s="20">
        <f t="shared" si="90"/>
        <v>448</v>
      </c>
      <c r="AM379" s="20">
        <f t="shared" si="91"/>
        <v>716800000</v>
      </c>
      <c r="AN379" s="20"/>
    </row>
    <row r="380" spans="16:45" ht="30">
      <c r="Q380" s="97" t="s">
        <v>5385</v>
      </c>
      <c r="R380" s="93">
        <v>1331702</v>
      </c>
      <c r="T380" s="19" t="s">
        <v>5673</v>
      </c>
      <c r="U380" s="19">
        <v>-568</v>
      </c>
      <c r="V380" s="115">
        <v>2639.970566</v>
      </c>
      <c r="W380" s="115">
        <f t="shared" si="89"/>
        <v>-1499503.2814879999</v>
      </c>
      <c r="X380" s="276" t="s">
        <v>5688</v>
      </c>
      <c r="AA380" t="s">
        <v>25</v>
      </c>
      <c r="AH380" s="20">
        <v>114</v>
      </c>
      <c r="AI380" s="20" t="s">
        <v>4257</v>
      </c>
      <c r="AJ380" s="115">
        <v>-10000000</v>
      </c>
      <c r="AK380" s="20">
        <v>1</v>
      </c>
      <c r="AL380" s="20">
        <f t="shared" si="90"/>
        <v>448</v>
      </c>
      <c r="AM380" s="20">
        <f t="shared" si="91"/>
        <v>-4480000000</v>
      </c>
      <c r="AN380" s="20" t="s">
        <v>5169</v>
      </c>
    </row>
    <row r="381" spans="16:45" ht="30">
      <c r="Q381" s="97" t="s">
        <v>5393</v>
      </c>
      <c r="R381" s="93">
        <v>851238</v>
      </c>
      <c r="T381" s="19" t="s">
        <v>5673</v>
      </c>
      <c r="U381" s="19">
        <v>568</v>
      </c>
      <c r="V381" s="115">
        <v>2639.970566</v>
      </c>
      <c r="W381" s="115">
        <f t="shared" si="89"/>
        <v>1499503.2814879999</v>
      </c>
      <c r="X381" s="276" t="s">
        <v>5688</v>
      </c>
      <c r="Z381" t="s">
        <v>25</v>
      </c>
      <c r="AA381" t="s">
        <v>25</v>
      </c>
      <c r="AH381" s="20">
        <v>115</v>
      </c>
      <c r="AI381" s="20" t="s">
        <v>5168</v>
      </c>
      <c r="AJ381" s="115">
        <v>571000</v>
      </c>
      <c r="AK381" s="20">
        <v>4</v>
      </c>
      <c r="AL381" s="20">
        <f t="shared" si="90"/>
        <v>447</v>
      </c>
      <c r="AM381" s="20">
        <f t="shared" si="91"/>
        <v>255237000</v>
      </c>
      <c r="AN381" s="20"/>
      <c r="AP381" t="s">
        <v>25</v>
      </c>
    </row>
    <row r="382" spans="16:45">
      <c r="Q382" s="97" t="s">
        <v>5427</v>
      </c>
      <c r="R382" s="93">
        <v>652592</v>
      </c>
      <c r="T382" s="19" t="s">
        <v>5677</v>
      </c>
      <c r="U382" s="19">
        <v>4589</v>
      </c>
      <c r="V382" s="115">
        <v>2639.970566</v>
      </c>
      <c r="W382" s="115">
        <f t="shared" si="89"/>
        <v>12114824.927374</v>
      </c>
      <c r="X382" s="276" t="s">
        <v>5691</v>
      </c>
      <c r="AH382" s="20">
        <v>116</v>
      </c>
      <c r="AI382" s="20" t="s">
        <v>5170</v>
      </c>
      <c r="AJ382" s="115">
        <v>200000</v>
      </c>
      <c r="AK382" s="20">
        <v>3</v>
      </c>
      <c r="AL382" s="20">
        <f t="shared" ref="AL382:AL393" si="92">AK382+AL383</f>
        <v>443</v>
      </c>
      <c r="AM382" s="20">
        <f t="shared" ref="AM382:AM393" si="93">AJ382*AL382</f>
        <v>88600000</v>
      </c>
      <c r="AN382" s="20"/>
    </row>
    <row r="383" spans="16:45">
      <c r="Q383" s="97" t="s">
        <v>5475</v>
      </c>
      <c r="R383" s="93">
        <v>554139</v>
      </c>
      <c r="T383" s="19" t="s">
        <v>5677</v>
      </c>
      <c r="U383" s="19">
        <v>41959</v>
      </c>
      <c r="V383" s="115">
        <v>2639.970566</v>
      </c>
      <c r="W383" s="115">
        <f t="shared" ref="W383:W440" si="94">U383*V383</f>
        <v>110770524.97879399</v>
      </c>
      <c r="X383" s="276" t="s">
        <v>5140</v>
      </c>
      <c r="AH383" s="147">
        <v>117</v>
      </c>
      <c r="AI383" s="147" t="s">
        <v>5176</v>
      </c>
      <c r="AJ383" s="186">
        <v>50000</v>
      </c>
      <c r="AK383" s="147">
        <v>7</v>
      </c>
      <c r="AL383" s="147">
        <f t="shared" si="92"/>
        <v>440</v>
      </c>
      <c r="AM383" s="147">
        <f t="shared" si="93"/>
        <v>22000000</v>
      </c>
      <c r="AN383" s="147"/>
    </row>
    <row r="384" spans="16:45">
      <c r="P384" t="s">
        <v>25</v>
      </c>
      <c r="Q384" s="97" t="s">
        <v>5476</v>
      </c>
      <c r="R384" s="93">
        <v>70373089</v>
      </c>
      <c r="T384" s="19" t="s">
        <v>5694</v>
      </c>
      <c r="U384" s="19">
        <v>2486</v>
      </c>
      <c r="V384" s="115">
        <v>2688.7156100000002</v>
      </c>
      <c r="W384" s="115">
        <f t="shared" si="94"/>
        <v>6684147.0064600008</v>
      </c>
      <c r="X384" s="276" t="s">
        <v>5140</v>
      </c>
      <c r="AH384" s="20">
        <v>118</v>
      </c>
      <c r="AI384" s="20" t="s">
        <v>5184</v>
      </c>
      <c r="AJ384" s="115">
        <v>-500000</v>
      </c>
      <c r="AK384" s="20">
        <v>12</v>
      </c>
      <c r="AL384" s="20">
        <f t="shared" si="92"/>
        <v>433</v>
      </c>
      <c r="AM384" s="20">
        <f t="shared" si="93"/>
        <v>-216500000</v>
      </c>
      <c r="AN384" s="20"/>
    </row>
    <row r="385" spans="17:45">
      <c r="Q385" s="97" t="s">
        <v>5477</v>
      </c>
      <c r="R385" s="93">
        <v>1219655</v>
      </c>
      <c r="S385" t="s">
        <v>25</v>
      </c>
      <c r="T385" s="19" t="s">
        <v>5698</v>
      </c>
      <c r="U385" s="19">
        <v>652</v>
      </c>
      <c r="V385" s="115">
        <v>2801.4344030000002</v>
      </c>
      <c r="W385" s="115">
        <f t="shared" si="94"/>
        <v>1826535.2307560001</v>
      </c>
      <c r="X385" s="276" t="s">
        <v>5140</v>
      </c>
      <c r="Y385" t="s">
        <v>25</v>
      </c>
      <c r="AH385" s="147">
        <v>119</v>
      </c>
      <c r="AI385" s="147" t="s">
        <v>976</v>
      </c>
      <c r="AJ385" s="186">
        <v>-50000</v>
      </c>
      <c r="AK385" s="147">
        <v>0</v>
      </c>
      <c r="AL385" s="147">
        <f t="shared" si="92"/>
        <v>421</v>
      </c>
      <c r="AM385" s="147">
        <f t="shared" si="93"/>
        <v>-21050000</v>
      </c>
      <c r="AN385" s="147"/>
    </row>
    <row r="386" spans="17:45">
      <c r="Q386" s="97" t="s">
        <v>5478</v>
      </c>
      <c r="R386" s="93">
        <v>15350146</v>
      </c>
      <c r="T386" s="187" t="s">
        <v>5698</v>
      </c>
      <c r="U386" s="187">
        <v>-536</v>
      </c>
      <c r="V386" s="186">
        <v>2801.4344030000002</v>
      </c>
      <c r="W386" s="186">
        <f t="shared" si="94"/>
        <v>-1501568.8400080001</v>
      </c>
      <c r="X386" s="275" t="s">
        <v>5712</v>
      </c>
      <c r="AH386" s="20">
        <v>120</v>
      </c>
      <c r="AI386" s="20" t="s">
        <v>976</v>
      </c>
      <c r="AJ386" s="115">
        <v>-50000</v>
      </c>
      <c r="AK386" s="20">
        <v>28</v>
      </c>
      <c r="AL386" s="20">
        <f t="shared" si="92"/>
        <v>421</v>
      </c>
      <c r="AM386" s="20">
        <f t="shared" si="93"/>
        <v>-21050000</v>
      </c>
      <c r="AN386" s="20"/>
      <c r="AQ386" t="s">
        <v>25</v>
      </c>
    </row>
    <row r="387" spans="17:45">
      <c r="Q387" s="97" t="s">
        <v>5479</v>
      </c>
      <c r="R387" s="93">
        <v>121018</v>
      </c>
      <c r="T387" s="19" t="s">
        <v>5702</v>
      </c>
      <c r="U387" s="19">
        <v>1351</v>
      </c>
      <c r="V387" s="115">
        <v>2647.94</v>
      </c>
      <c r="W387" s="115">
        <f t="shared" si="94"/>
        <v>3577366.94</v>
      </c>
      <c r="X387" s="276" t="s">
        <v>5140</v>
      </c>
      <c r="AF387" s="94" t="s">
        <v>25</v>
      </c>
      <c r="AH387" s="20">
        <v>121</v>
      </c>
      <c r="AI387" s="20" t="s">
        <v>5225</v>
      </c>
      <c r="AJ387" s="115">
        <v>-3020625</v>
      </c>
      <c r="AK387" s="20">
        <v>18</v>
      </c>
      <c r="AL387" s="20">
        <f t="shared" si="92"/>
        <v>393</v>
      </c>
      <c r="AM387" s="20">
        <f t="shared" si="93"/>
        <v>-1187105625</v>
      </c>
      <c r="AN387" s="20"/>
    </row>
    <row r="388" spans="17:45">
      <c r="Q388" s="97" t="s">
        <v>5483</v>
      </c>
      <c r="R388" s="93">
        <v>1024993</v>
      </c>
      <c r="T388" s="19" t="s">
        <v>5704</v>
      </c>
      <c r="U388" s="19">
        <v>8402</v>
      </c>
      <c r="V388" s="115">
        <v>2527.8539839999999</v>
      </c>
      <c r="W388" s="115">
        <f t="shared" si="94"/>
        <v>21239029.173567999</v>
      </c>
      <c r="X388" s="276" t="s">
        <v>5140</v>
      </c>
      <c r="AH388" s="20">
        <v>122</v>
      </c>
      <c r="AI388" s="20" t="s">
        <v>5236</v>
      </c>
      <c r="AJ388" s="115">
        <v>18000000</v>
      </c>
      <c r="AK388" s="20">
        <v>19</v>
      </c>
      <c r="AL388" s="20">
        <f t="shared" si="92"/>
        <v>375</v>
      </c>
      <c r="AM388" s="20">
        <f t="shared" si="93"/>
        <v>6750000000</v>
      </c>
      <c r="AN388" s="20"/>
      <c r="AS388" t="s">
        <v>25</v>
      </c>
    </row>
    <row r="389" spans="17:45">
      <c r="Q389" s="97" t="s">
        <v>5499</v>
      </c>
      <c r="R389" s="93">
        <v>1948077</v>
      </c>
      <c r="T389" s="19" t="s">
        <v>5709</v>
      </c>
      <c r="U389" s="19">
        <v>98141</v>
      </c>
      <c r="V389" s="115">
        <v>2475.593813</v>
      </c>
      <c r="W389" s="115">
        <f t="shared" si="94"/>
        <v>242957252.40163299</v>
      </c>
      <c r="X389" s="276" t="s">
        <v>5140</v>
      </c>
      <c r="Y389" t="s">
        <v>25</v>
      </c>
      <c r="AH389" s="20">
        <v>123</v>
      </c>
      <c r="AI389" s="20" t="s">
        <v>5264</v>
      </c>
      <c r="AJ389" s="115">
        <v>2000000</v>
      </c>
      <c r="AK389" s="20">
        <v>6</v>
      </c>
      <c r="AL389" s="20">
        <f t="shared" si="92"/>
        <v>356</v>
      </c>
      <c r="AM389" s="20">
        <f t="shared" si="93"/>
        <v>712000000</v>
      </c>
      <c r="AN389" s="20"/>
    </row>
    <row r="390" spans="17:45">
      <c r="Q390" s="97" t="s">
        <v>5500</v>
      </c>
      <c r="R390" s="93">
        <v>50000120</v>
      </c>
      <c r="T390" s="19" t="s">
        <v>5713</v>
      </c>
      <c r="U390" s="19">
        <v>2910</v>
      </c>
      <c r="V390" s="115">
        <v>2528.240988</v>
      </c>
      <c r="W390" s="115">
        <f t="shared" si="94"/>
        <v>7357181.2750800001</v>
      </c>
      <c r="X390" s="276" t="s">
        <v>5140</v>
      </c>
      <c r="Z390" t="s">
        <v>25</v>
      </c>
      <c r="AH390" s="147">
        <v>124</v>
      </c>
      <c r="AI390" s="147" t="s">
        <v>5274</v>
      </c>
      <c r="AJ390" s="186">
        <v>40000000</v>
      </c>
      <c r="AK390" s="147">
        <v>6</v>
      </c>
      <c r="AL390" s="147">
        <f t="shared" si="92"/>
        <v>350</v>
      </c>
      <c r="AM390" s="147">
        <f t="shared" si="93"/>
        <v>14000000000</v>
      </c>
      <c r="AN390" s="147"/>
    </row>
    <row r="391" spans="17:45">
      <c r="Q391" s="97" t="s">
        <v>5501</v>
      </c>
      <c r="R391" s="93">
        <v>20000055</v>
      </c>
      <c r="T391" s="19" t="s">
        <v>5715</v>
      </c>
      <c r="U391" s="19">
        <v>5652</v>
      </c>
      <c r="V391" s="115">
        <v>2645.3312000000001</v>
      </c>
      <c r="W391" s="115">
        <f t="shared" si="94"/>
        <v>14951411.942400001</v>
      </c>
      <c r="X391" s="276" t="s">
        <v>5140</v>
      </c>
      <c r="Z391" t="s">
        <v>25</v>
      </c>
      <c r="AH391" s="20">
        <v>125</v>
      </c>
      <c r="AI391" s="20" t="s">
        <v>5283</v>
      </c>
      <c r="AJ391" s="115">
        <v>200000</v>
      </c>
      <c r="AK391" s="20">
        <v>0</v>
      </c>
      <c r="AL391" s="20">
        <f t="shared" si="92"/>
        <v>344</v>
      </c>
      <c r="AM391" s="20">
        <f t="shared" si="93"/>
        <v>68800000</v>
      </c>
      <c r="AN391" s="20"/>
    </row>
    <row r="392" spans="17:45">
      <c r="Q392" s="97" t="s">
        <v>5529</v>
      </c>
      <c r="R392" s="93">
        <v>5745697</v>
      </c>
      <c r="T392" s="19" t="s">
        <v>5719</v>
      </c>
      <c r="U392" s="19">
        <v>18764</v>
      </c>
      <c r="V392" s="115">
        <v>2554.2639829999998</v>
      </c>
      <c r="W392" s="115">
        <f t="shared" si="94"/>
        <v>47928209.377011999</v>
      </c>
      <c r="X392" s="276" t="s">
        <v>5140</v>
      </c>
      <c r="Y392" t="s">
        <v>25</v>
      </c>
      <c r="AH392" s="147">
        <v>126</v>
      </c>
      <c r="AI392" s="147" t="s">
        <v>5283</v>
      </c>
      <c r="AJ392" s="186">
        <v>200000</v>
      </c>
      <c r="AK392" s="147">
        <v>1</v>
      </c>
      <c r="AL392" s="147">
        <f t="shared" si="92"/>
        <v>344</v>
      </c>
      <c r="AM392" s="147">
        <f t="shared" si="93"/>
        <v>68800000</v>
      </c>
      <c r="AN392" s="147"/>
    </row>
    <row r="393" spans="17:45">
      <c r="Q393" s="97" t="s">
        <v>5530</v>
      </c>
      <c r="R393" s="93">
        <v>908158</v>
      </c>
      <c r="T393" s="19" t="s">
        <v>5721</v>
      </c>
      <c r="U393" s="19">
        <v>930</v>
      </c>
      <c r="V393" s="115">
        <v>2453.3287089999999</v>
      </c>
      <c r="W393" s="115">
        <f t="shared" si="94"/>
        <v>2281595.69937</v>
      </c>
      <c r="X393" s="276" t="s">
        <v>5140</v>
      </c>
      <c r="AH393" s="20">
        <v>127</v>
      </c>
      <c r="AI393" s="20" t="s">
        <v>5286</v>
      </c>
      <c r="AJ393" s="115">
        <v>50000</v>
      </c>
      <c r="AK393" s="20">
        <v>4</v>
      </c>
      <c r="AL393" s="20">
        <f t="shared" si="92"/>
        <v>343</v>
      </c>
      <c r="AM393" s="20">
        <f t="shared" si="93"/>
        <v>17150000</v>
      </c>
      <c r="AN393" s="20"/>
      <c r="AR393" t="s">
        <v>25</v>
      </c>
    </row>
    <row r="394" spans="17:45">
      <c r="Q394" s="97" t="s">
        <v>5531</v>
      </c>
      <c r="R394" s="93">
        <v>12642697</v>
      </c>
      <c r="T394" s="19" t="s">
        <v>5723</v>
      </c>
      <c r="U394" s="19">
        <v>1167</v>
      </c>
      <c r="V394" s="115">
        <v>2540.6307069999998</v>
      </c>
      <c r="W394" s="115">
        <f t="shared" si="94"/>
        <v>2964916.035069</v>
      </c>
      <c r="X394" s="276" t="s">
        <v>5140</v>
      </c>
      <c r="AH394" s="20">
        <v>128</v>
      </c>
      <c r="AI394" s="20" t="s">
        <v>5288</v>
      </c>
      <c r="AJ394" s="115">
        <v>100000</v>
      </c>
      <c r="AK394" s="20">
        <v>9</v>
      </c>
      <c r="AL394" s="20">
        <f t="shared" ref="AL394:AL404" si="95">AK394+AL395</f>
        <v>339</v>
      </c>
      <c r="AM394" s="20">
        <f t="shared" ref="AM394:AM404" si="96">AJ394*AL394</f>
        <v>33900000</v>
      </c>
      <c r="AN394" s="20"/>
    </row>
    <row r="395" spans="17:45">
      <c r="Q395" s="97" t="s">
        <v>5532</v>
      </c>
      <c r="R395" s="93">
        <v>12297317.81435</v>
      </c>
      <c r="T395" s="19" t="s">
        <v>5724</v>
      </c>
      <c r="U395" s="19">
        <v>2538</v>
      </c>
      <c r="V395" s="115">
        <v>2545.5277489999999</v>
      </c>
      <c r="W395" s="115">
        <f t="shared" si="94"/>
        <v>6460549.4269619994</v>
      </c>
      <c r="X395" s="276" t="s">
        <v>5140</v>
      </c>
      <c r="AH395" s="20">
        <v>129</v>
      </c>
      <c r="AI395" s="20" t="s">
        <v>5304</v>
      </c>
      <c r="AJ395" s="115">
        <v>-550000</v>
      </c>
      <c r="AK395" s="20">
        <v>5</v>
      </c>
      <c r="AL395" s="20">
        <f t="shared" si="95"/>
        <v>330</v>
      </c>
      <c r="AM395" s="20">
        <f t="shared" si="96"/>
        <v>-181500000</v>
      </c>
      <c r="AN395" s="20"/>
    </row>
    <row r="396" spans="17:45">
      <c r="Q396" s="97" t="s">
        <v>5533</v>
      </c>
      <c r="R396" s="93">
        <v>8959643.8508579992</v>
      </c>
      <c r="T396" s="19" t="s">
        <v>5726</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325</v>
      </c>
      <c r="AM396" s="20">
        <f t="shared" si="96"/>
        <v>-9648109250</v>
      </c>
      <c r="AN396" s="20"/>
    </row>
    <row r="397" spans="17:45">
      <c r="Q397" s="97" t="s">
        <v>5534</v>
      </c>
      <c r="R397" s="93">
        <v>15154095.839328</v>
      </c>
      <c r="T397" s="19" t="s">
        <v>5729</v>
      </c>
      <c r="U397" s="19">
        <v>1801</v>
      </c>
      <c r="V397" s="115">
        <v>2512.2134809999998</v>
      </c>
      <c r="W397" s="115">
        <f t="shared" si="94"/>
        <v>4524496.4792809999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5555</v>
      </c>
      <c r="R398" s="93">
        <v>50725508.571864001</v>
      </c>
      <c r="T398" s="19" t="s">
        <v>5731</v>
      </c>
      <c r="U398" s="19">
        <v>9184</v>
      </c>
      <c r="V398" s="115">
        <v>2489.76919</v>
      </c>
      <c r="W398" s="115">
        <f t="shared" si="94"/>
        <v>22866040.240959998</v>
      </c>
      <c r="X398" s="276" t="s">
        <v>5140</v>
      </c>
      <c r="Z398" t="s">
        <v>25</v>
      </c>
      <c r="AH398" s="20">
        <v>132</v>
      </c>
      <c r="AI398" s="20" t="s">
        <v>5361</v>
      </c>
      <c r="AJ398" s="115">
        <v>810000</v>
      </c>
      <c r="AK398" s="20">
        <v>2</v>
      </c>
      <c r="AL398" s="20">
        <f t="shared" si="95"/>
        <v>316</v>
      </c>
      <c r="AM398" s="20">
        <f t="shared" si="96"/>
        <v>255960000</v>
      </c>
      <c r="AN398" s="20"/>
    </row>
    <row r="399" spans="17:45">
      <c r="Q399" s="97" t="s">
        <v>5557</v>
      </c>
      <c r="R399" s="93">
        <v>2281961.458596</v>
      </c>
      <c r="T399" s="19" t="s">
        <v>5733</v>
      </c>
      <c r="U399" s="19">
        <v>6259</v>
      </c>
      <c r="V399" s="115">
        <v>2453.954988</v>
      </c>
      <c r="W399" s="115">
        <f t="shared" si="94"/>
        <v>15359304.269892</v>
      </c>
      <c r="X399" s="276" t="s">
        <v>5140</v>
      </c>
      <c r="Y399" t="s">
        <v>25</v>
      </c>
      <c r="AH399" s="20">
        <v>133</v>
      </c>
      <c r="AI399" s="20" t="s">
        <v>5366</v>
      </c>
      <c r="AJ399" s="115">
        <v>-5000000</v>
      </c>
      <c r="AK399" s="20">
        <v>3</v>
      </c>
      <c r="AL399" s="20">
        <f t="shared" si="95"/>
        <v>314</v>
      </c>
      <c r="AM399" s="20">
        <f t="shared" si="96"/>
        <v>-1570000000</v>
      </c>
      <c r="AN399" s="20"/>
    </row>
    <row r="400" spans="17:45" ht="18" customHeight="1">
      <c r="Q400" s="97" t="s">
        <v>5564</v>
      </c>
      <c r="R400" s="93">
        <v>10998285</v>
      </c>
      <c r="T400" s="19" t="s">
        <v>5735</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311</v>
      </c>
      <c r="AM400" s="20">
        <f t="shared" si="96"/>
        <v>-8086000000</v>
      </c>
      <c r="AN400" s="20"/>
    </row>
    <row r="401" spans="17:45" ht="21" customHeight="1">
      <c r="Q401" s="97" t="s">
        <v>5565</v>
      </c>
      <c r="R401" s="93">
        <v>983018.96187300002</v>
      </c>
      <c r="T401" s="19" t="s">
        <v>5736</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311</v>
      </c>
      <c r="AM401" s="252">
        <f t="shared" si="96"/>
        <v>-8086000000</v>
      </c>
      <c r="AN401" s="252"/>
    </row>
    <row r="402" spans="17:45">
      <c r="Q402" s="97" t="s">
        <v>5567</v>
      </c>
      <c r="R402" s="93">
        <v>17049271.032000002</v>
      </c>
      <c r="T402" s="19" t="s">
        <v>5737</v>
      </c>
      <c r="U402" s="19">
        <v>14589</v>
      </c>
      <c r="V402" s="115">
        <v>2151.5486500000002</v>
      </c>
      <c r="W402" s="115">
        <f t="shared" si="94"/>
        <v>31388943.254850004</v>
      </c>
      <c r="X402" s="276" t="s">
        <v>5140</v>
      </c>
      <c r="Z402" t="s">
        <v>25</v>
      </c>
      <c r="AH402" s="20">
        <v>136</v>
      </c>
      <c r="AI402" s="20" t="s">
        <v>5379</v>
      </c>
      <c r="AJ402" s="115">
        <v>-81800000</v>
      </c>
      <c r="AK402" s="20">
        <v>0</v>
      </c>
      <c r="AL402" s="20">
        <f t="shared" si="95"/>
        <v>310</v>
      </c>
      <c r="AM402" s="20">
        <f t="shared" si="96"/>
        <v>-25358000000</v>
      </c>
      <c r="AN402" s="20"/>
      <c r="AS402" t="s">
        <v>25</v>
      </c>
    </row>
    <row r="403" spans="17:45">
      <c r="Q403" s="97" t="s">
        <v>5570</v>
      </c>
      <c r="R403" s="93">
        <v>6829998</v>
      </c>
      <c r="T403" s="19" t="s">
        <v>5738</v>
      </c>
      <c r="U403" s="19">
        <v>14741</v>
      </c>
      <c r="V403" s="115">
        <v>2097.0148140000001</v>
      </c>
      <c r="W403" s="115">
        <f t="shared" si="94"/>
        <v>30912095.373174001</v>
      </c>
      <c r="X403" s="276" t="s">
        <v>5140</v>
      </c>
      <c r="AH403" s="252">
        <v>137</v>
      </c>
      <c r="AI403" s="252" t="s">
        <v>5379</v>
      </c>
      <c r="AJ403" s="243">
        <v>-110000000</v>
      </c>
      <c r="AK403" s="252">
        <v>1</v>
      </c>
      <c r="AL403" s="252">
        <f t="shared" si="95"/>
        <v>310</v>
      </c>
      <c r="AM403" s="252">
        <f t="shared" si="96"/>
        <v>-34100000000</v>
      </c>
      <c r="AN403" s="252"/>
    </row>
    <row r="404" spans="17:45">
      <c r="Q404" s="97" t="s">
        <v>4213</v>
      </c>
      <c r="R404" s="93">
        <v>6982608.8207999999</v>
      </c>
      <c r="T404" s="19" t="s">
        <v>5740</v>
      </c>
      <c r="U404" s="19">
        <v>10237</v>
      </c>
      <c r="V404" s="115">
        <v>1914.9092619999999</v>
      </c>
      <c r="W404" s="115">
        <f t="shared" si="94"/>
        <v>19602926.115093999</v>
      </c>
      <c r="X404" s="276" t="s">
        <v>5140</v>
      </c>
      <c r="AH404" s="20">
        <v>138</v>
      </c>
      <c r="AI404" s="20" t="s">
        <v>5380</v>
      </c>
      <c r="AJ404" s="115">
        <v>-34000000</v>
      </c>
      <c r="AK404" s="20">
        <v>0</v>
      </c>
      <c r="AL404" s="20">
        <f t="shared" si="95"/>
        <v>309</v>
      </c>
      <c r="AM404" s="20">
        <f t="shared" si="96"/>
        <v>-10506000000</v>
      </c>
      <c r="AN404" s="20"/>
    </row>
    <row r="405" spans="17:45">
      <c r="Q405" s="97" t="s">
        <v>5592</v>
      </c>
      <c r="R405" s="93">
        <v>7510131.0216000006</v>
      </c>
      <c r="T405" s="19" t="s">
        <v>5744</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5598</v>
      </c>
      <c r="R406" s="93">
        <v>7278025.5327000003</v>
      </c>
      <c r="S406" t="s">
        <v>25</v>
      </c>
      <c r="T406" s="19" t="s">
        <v>5747</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304</v>
      </c>
      <c r="AM406" s="20">
        <f t="shared" si="98"/>
        <v>304000000</v>
      </c>
      <c r="AN406" s="20"/>
    </row>
    <row r="407" spans="17:45">
      <c r="Q407" s="97" t="s">
        <v>5607</v>
      </c>
      <c r="R407" s="93">
        <v>195059.35799999998</v>
      </c>
      <c r="T407" s="19" t="s">
        <v>5749</v>
      </c>
      <c r="U407" s="19">
        <v>14098</v>
      </c>
      <c r="V407" s="115">
        <v>1797.423695</v>
      </c>
      <c r="W407" s="115">
        <f t="shared" si="94"/>
        <v>25340079.252110001</v>
      </c>
      <c r="X407" s="276" t="s">
        <v>5140</v>
      </c>
      <c r="AH407" s="147">
        <v>141</v>
      </c>
      <c r="AI407" s="147" t="s">
        <v>5393</v>
      </c>
      <c r="AJ407" s="186">
        <v>1000000</v>
      </c>
      <c r="AK407" s="147">
        <v>4</v>
      </c>
      <c r="AL407" s="147">
        <f t="shared" si="97"/>
        <v>304</v>
      </c>
      <c r="AM407" s="147">
        <f t="shared" si="98"/>
        <v>304000000</v>
      </c>
      <c r="AN407" s="147"/>
    </row>
    <row r="408" spans="17:45">
      <c r="Q408" s="97" t="s">
        <v>5612</v>
      </c>
      <c r="R408" s="93">
        <v>862577.83200000005</v>
      </c>
      <c r="T408" s="19" t="s">
        <v>5750</v>
      </c>
      <c r="U408" s="19">
        <v>8497</v>
      </c>
      <c r="V408" s="115">
        <v>1739.5531579999999</v>
      </c>
      <c r="W408" s="115">
        <f t="shared" si="94"/>
        <v>14780983.183526</v>
      </c>
      <c r="X408" s="276" t="s">
        <v>5140</v>
      </c>
      <c r="Z408" t="s">
        <v>25</v>
      </c>
      <c r="AH408" s="20">
        <v>142</v>
      </c>
      <c r="AI408" s="20" t="s">
        <v>5399</v>
      </c>
      <c r="AJ408" s="115">
        <v>400000</v>
      </c>
      <c r="AK408" s="20">
        <v>0</v>
      </c>
      <c r="AL408" s="20">
        <f t="shared" si="97"/>
        <v>300</v>
      </c>
      <c r="AM408" s="20">
        <f t="shared" si="98"/>
        <v>120000000</v>
      </c>
      <c r="AN408" s="20"/>
    </row>
    <row r="409" spans="17:45" ht="30">
      <c r="Q409" s="97" t="s">
        <v>5614</v>
      </c>
      <c r="R409" s="93">
        <v>920308.446</v>
      </c>
      <c r="T409" s="19" t="s">
        <v>5753</v>
      </c>
      <c r="U409" s="19">
        <v>163820</v>
      </c>
      <c r="V409" s="115">
        <v>1588.685326</v>
      </c>
      <c r="W409" s="115">
        <f t="shared" si="94"/>
        <v>260258430.10532001</v>
      </c>
      <c r="X409" s="276" t="s">
        <v>5757</v>
      </c>
      <c r="AH409" s="147">
        <v>143</v>
      </c>
      <c r="AI409" s="147" t="s">
        <v>5399</v>
      </c>
      <c r="AJ409" s="186">
        <v>400000</v>
      </c>
      <c r="AK409" s="147">
        <v>35</v>
      </c>
      <c r="AL409" s="147">
        <f t="shared" si="97"/>
        <v>300</v>
      </c>
      <c r="AM409" s="147">
        <f t="shared" si="98"/>
        <v>120000000</v>
      </c>
      <c r="AN409" s="147"/>
    </row>
    <row r="410" spans="17:45">
      <c r="Q410" s="97" t="s">
        <v>5615</v>
      </c>
      <c r="R410" s="93">
        <v>4635809.8416840006</v>
      </c>
      <c r="S410" t="s">
        <v>25</v>
      </c>
      <c r="T410" s="19" t="s">
        <v>5753</v>
      </c>
      <c r="U410" s="19">
        <v>11207</v>
      </c>
      <c r="V410" s="115">
        <v>1588.685326</v>
      </c>
      <c r="W410" s="115">
        <f t="shared" si="94"/>
        <v>17804396.448481999</v>
      </c>
      <c r="X410" s="276" t="s">
        <v>5140</v>
      </c>
      <c r="AH410" s="20">
        <v>144</v>
      </c>
      <c r="AI410" s="20" t="s">
        <v>5433</v>
      </c>
      <c r="AJ410" s="115">
        <v>3000000</v>
      </c>
      <c r="AK410" s="20">
        <v>0</v>
      </c>
      <c r="AL410" s="20">
        <f t="shared" si="97"/>
        <v>265</v>
      </c>
      <c r="AM410" s="20">
        <f t="shared" si="98"/>
        <v>795000000</v>
      </c>
      <c r="AN410" s="20"/>
    </row>
    <row r="411" spans="17:45">
      <c r="Q411" s="97" t="s">
        <v>5617</v>
      </c>
      <c r="R411" s="93">
        <v>288892.40000000002</v>
      </c>
      <c r="T411" s="19" t="s">
        <v>5758</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5646</v>
      </c>
      <c r="R412" s="93">
        <v>58508002.009000003</v>
      </c>
      <c r="T412" s="19" t="s">
        <v>5759</v>
      </c>
      <c r="U412" s="19">
        <v>7804</v>
      </c>
      <c r="V412" s="115">
        <v>1592.7111440000001</v>
      </c>
      <c r="W412" s="115">
        <f t="shared" si="94"/>
        <v>12429517.767776001</v>
      </c>
      <c r="X412" s="276" t="s">
        <v>5140</v>
      </c>
      <c r="Y412" t="s">
        <v>25</v>
      </c>
      <c r="AH412" s="147">
        <v>146</v>
      </c>
      <c r="AI412" s="147" t="s">
        <v>5327</v>
      </c>
      <c r="AJ412" s="186">
        <v>-8644090</v>
      </c>
      <c r="AK412" s="147">
        <v>0</v>
      </c>
      <c r="AL412" s="147">
        <f t="shared" si="99"/>
        <v>246</v>
      </c>
      <c r="AM412" s="147">
        <f t="shared" si="100"/>
        <v>-2126446140</v>
      </c>
      <c r="AN412" s="147" t="s">
        <v>4750</v>
      </c>
    </row>
    <row r="413" spans="17:45">
      <c r="Q413" s="97" t="s">
        <v>5647</v>
      </c>
      <c r="R413" s="93">
        <v>2245515.5410799999</v>
      </c>
      <c r="T413" s="19" t="s">
        <v>5771</v>
      </c>
      <c r="U413" s="19">
        <v>2827</v>
      </c>
      <c r="V413" s="115">
        <v>1779.6874809999999</v>
      </c>
      <c r="W413" s="115">
        <f t="shared" si="94"/>
        <v>5031176.5087869996</v>
      </c>
      <c r="X413" s="276" t="s">
        <v>5140</v>
      </c>
      <c r="AH413" s="20">
        <v>147</v>
      </c>
      <c r="AI413" s="20" t="s">
        <v>5327</v>
      </c>
      <c r="AJ413" s="115">
        <v>-65461942</v>
      </c>
      <c r="AK413" s="20">
        <v>1</v>
      </c>
      <c r="AL413" s="20">
        <f t="shared" si="99"/>
        <v>246</v>
      </c>
      <c r="AM413" s="20">
        <f t="shared" si="100"/>
        <v>-16103637732</v>
      </c>
      <c r="AN413" s="20" t="s">
        <v>4750</v>
      </c>
      <c r="AR413" t="s">
        <v>25</v>
      </c>
    </row>
    <row r="414" spans="17:45">
      <c r="Q414" s="97" t="s">
        <v>5649</v>
      </c>
      <c r="R414" s="93">
        <v>18404699.3442</v>
      </c>
      <c r="T414" s="19" t="s">
        <v>5774</v>
      </c>
      <c r="U414" s="19">
        <v>3385</v>
      </c>
      <c r="V414" s="115">
        <v>2015.5993820000001</v>
      </c>
      <c r="W414" s="115">
        <f t="shared" si="94"/>
        <v>6822803.9080700008</v>
      </c>
      <c r="X414" s="276" t="s">
        <v>5140</v>
      </c>
      <c r="Y414" t="s">
        <v>25</v>
      </c>
      <c r="AH414" s="20">
        <v>148</v>
      </c>
      <c r="AI414" s="20" t="s">
        <v>5456</v>
      </c>
      <c r="AJ414" s="115">
        <v>35000000</v>
      </c>
      <c r="AK414" s="20">
        <v>15</v>
      </c>
      <c r="AL414" s="20">
        <f t="shared" si="99"/>
        <v>245</v>
      </c>
      <c r="AM414" s="20">
        <f t="shared" si="100"/>
        <v>8575000000</v>
      </c>
      <c r="AN414" s="20"/>
    </row>
    <row r="415" spans="17:45">
      <c r="Q415" s="97" t="s">
        <v>5649</v>
      </c>
      <c r="R415" s="93">
        <v>48684800</v>
      </c>
      <c r="T415" s="19" t="s">
        <v>5778</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5652</v>
      </c>
      <c r="R416" s="93">
        <v>2264658.5922190002</v>
      </c>
      <c r="T416" s="19" t="s">
        <v>965</v>
      </c>
      <c r="U416" s="19">
        <v>5033</v>
      </c>
      <c r="V416" s="115">
        <v>2229.4976999999999</v>
      </c>
      <c r="W416" s="115">
        <f t="shared" si="94"/>
        <v>11221061.924099999</v>
      </c>
      <c r="X416" s="276" t="s">
        <v>5784</v>
      </c>
      <c r="Y416" t="s">
        <v>25</v>
      </c>
      <c r="AH416" s="20">
        <v>150</v>
      </c>
      <c r="AI416" s="20" t="s">
        <v>5479</v>
      </c>
      <c r="AJ416" s="115">
        <v>1600000</v>
      </c>
      <c r="AK416" s="20">
        <v>1</v>
      </c>
      <c r="AL416" s="20">
        <f t="shared" si="101"/>
        <v>230</v>
      </c>
      <c r="AM416" s="20">
        <f t="shared" si="102"/>
        <v>368000000</v>
      </c>
      <c r="AN416" s="20"/>
    </row>
    <row r="417" spans="17:45">
      <c r="Q417" s="97" t="s">
        <v>5654</v>
      </c>
      <c r="R417" s="93">
        <v>22877413.789960001</v>
      </c>
      <c r="T417" s="19" t="s">
        <v>5788</v>
      </c>
      <c r="U417" s="19">
        <v>2870</v>
      </c>
      <c r="V417" s="115">
        <v>2303.2467459999998</v>
      </c>
      <c r="W417" s="115">
        <f t="shared" si="94"/>
        <v>6610318.1610199995</v>
      </c>
      <c r="X417" s="276" t="s">
        <v>5140</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5657</v>
      </c>
      <c r="R418" s="93">
        <v>2362539.4373280001</v>
      </c>
      <c r="T418" s="19" t="s">
        <v>5789</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229</v>
      </c>
      <c r="AM418" s="20">
        <f t="shared" si="102"/>
        <v>137400000</v>
      </c>
      <c r="AN418" s="20" t="s">
        <v>5484</v>
      </c>
    </row>
    <row r="419" spans="17:45" ht="30">
      <c r="Q419" s="97" t="s">
        <v>5658</v>
      </c>
      <c r="R419" s="93">
        <v>16042676.656608</v>
      </c>
      <c r="S419" t="s">
        <v>25</v>
      </c>
      <c r="T419" s="19" t="s">
        <v>5791</v>
      </c>
      <c r="U419" s="19">
        <v>35</v>
      </c>
      <c r="V419" s="115">
        <v>2315</v>
      </c>
      <c r="W419" s="115">
        <f t="shared" si="94"/>
        <v>81025</v>
      </c>
      <c r="X419" s="276" t="s">
        <v>5794</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ht="30">
      <c r="Q420" s="97" t="s">
        <v>5659</v>
      </c>
      <c r="R420" s="93">
        <v>18403291.448284</v>
      </c>
      <c r="T420" s="187" t="s">
        <v>5791</v>
      </c>
      <c r="U420" s="187">
        <v>-8</v>
      </c>
      <c r="V420" s="186">
        <v>2315</v>
      </c>
      <c r="W420" s="186">
        <f t="shared" si="94"/>
        <v>-18520</v>
      </c>
      <c r="X420" s="275" t="s">
        <v>5686</v>
      </c>
      <c r="Z420" t="s">
        <v>25</v>
      </c>
      <c r="AH420" s="20">
        <v>154</v>
      </c>
      <c r="AI420" s="20" t="s">
        <v>5545</v>
      </c>
      <c r="AJ420" s="115">
        <v>-46183500</v>
      </c>
      <c r="AK420" s="20">
        <v>0</v>
      </c>
      <c r="AL420" s="20">
        <f t="shared" si="103"/>
        <v>197</v>
      </c>
      <c r="AM420" s="20">
        <f t="shared" si="104"/>
        <v>-9098149500</v>
      </c>
      <c r="AN420" s="20" t="s">
        <v>4879</v>
      </c>
      <c r="AR420" t="s">
        <v>25</v>
      </c>
    </row>
    <row r="421" spans="17:45">
      <c r="Q421" s="97" t="s">
        <v>5662</v>
      </c>
      <c r="R421" s="93">
        <v>10561447.246918</v>
      </c>
      <c r="T421" s="19" t="s">
        <v>5795</v>
      </c>
      <c r="U421" s="19">
        <v>94</v>
      </c>
      <c r="V421" s="115">
        <v>2337.1980119999998</v>
      </c>
      <c r="W421" s="115">
        <f t="shared" si="94"/>
        <v>219696.613128</v>
      </c>
      <c r="X421" s="276" t="s">
        <v>5140</v>
      </c>
      <c r="Z421" t="s">
        <v>25</v>
      </c>
      <c r="AH421" s="147">
        <v>155</v>
      </c>
      <c r="AI421" s="147" t="s">
        <v>5545</v>
      </c>
      <c r="AJ421" s="186">
        <v>-1812800</v>
      </c>
      <c r="AK421" s="147">
        <v>2</v>
      </c>
      <c r="AL421" s="147">
        <f>AK421+AL422</f>
        <v>197</v>
      </c>
      <c r="AM421" s="147">
        <f t="shared" si="104"/>
        <v>-357121600</v>
      </c>
      <c r="AN421" s="147" t="s">
        <v>4879</v>
      </c>
    </row>
    <row r="422" spans="17:45">
      <c r="Q422" s="97" t="s">
        <v>5663</v>
      </c>
      <c r="R422" s="93">
        <v>1226811.9176660001</v>
      </c>
      <c r="T422" s="19" t="s">
        <v>5796</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195</v>
      </c>
      <c r="AM422" s="20">
        <f t="shared" ref="AM422:AM436" si="106">AJ422*AL422</f>
        <v>17550000</v>
      </c>
      <c r="AN422" s="20"/>
    </row>
    <row r="423" spans="17:45">
      <c r="Q423" s="97" t="s">
        <v>5664</v>
      </c>
      <c r="R423" s="93">
        <v>39373959.190266006</v>
      </c>
      <c r="T423" s="19" t="s">
        <v>5798</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5669</v>
      </c>
      <c r="R424" s="93">
        <v>27703487.063980002</v>
      </c>
      <c r="S424" t="s">
        <v>25</v>
      </c>
      <c r="T424" s="187" t="s">
        <v>5800</v>
      </c>
      <c r="U424" s="187">
        <v>-31</v>
      </c>
      <c r="V424" s="186">
        <v>2221.2123710000001</v>
      </c>
      <c r="W424" s="186">
        <f t="shared" si="94"/>
        <v>-68857.583501000001</v>
      </c>
      <c r="X424" s="275" t="s">
        <v>5686</v>
      </c>
      <c r="AH424" s="20">
        <v>158</v>
      </c>
      <c r="AI424" s="20" t="s">
        <v>5557</v>
      </c>
      <c r="AJ424" s="115">
        <v>50000000</v>
      </c>
      <c r="AK424" s="20">
        <v>29</v>
      </c>
      <c r="AL424" s="20">
        <f t="shared" si="105"/>
        <v>190</v>
      </c>
      <c r="AM424" s="20">
        <f t="shared" si="106"/>
        <v>9500000000</v>
      </c>
      <c r="AN424" s="20" t="s">
        <v>5559</v>
      </c>
    </row>
    <row r="425" spans="17:45">
      <c r="Q425" s="97" t="s">
        <v>5670</v>
      </c>
      <c r="R425" s="93">
        <v>8738896.6890719999</v>
      </c>
      <c r="T425" s="187" t="s">
        <v>5800</v>
      </c>
      <c r="U425" s="187">
        <v>-32</v>
      </c>
      <c r="V425" s="186">
        <v>2221.2123710000001</v>
      </c>
      <c r="W425" s="186">
        <f t="shared" si="94"/>
        <v>-71078.795872000002</v>
      </c>
      <c r="X425" s="275" t="s">
        <v>5805</v>
      </c>
      <c r="AH425" s="20">
        <v>159</v>
      </c>
      <c r="AI425" s="20" t="s">
        <v>5617</v>
      </c>
      <c r="AJ425" s="115">
        <v>100000</v>
      </c>
      <c r="AK425" s="20">
        <v>1</v>
      </c>
      <c r="AL425" s="20">
        <f t="shared" si="105"/>
        <v>161</v>
      </c>
      <c r="AM425" s="20">
        <f t="shared" si="106"/>
        <v>16100000</v>
      </c>
      <c r="AN425" s="20"/>
    </row>
    <row r="426" spans="17:45">
      <c r="Q426" s="97" t="s">
        <v>4186</v>
      </c>
      <c r="R426" s="93">
        <v>348201.66738</v>
      </c>
      <c r="T426" s="19" t="s">
        <v>5800</v>
      </c>
      <c r="U426" s="19">
        <v>157</v>
      </c>
      <c r="V426" s="115">
        <v>2221.2123710000001</v>
      </c>
      <c r="W426" s="115">
        <f t="shared" si="94"/>
        <v>348730.34224700002</v>
      </c>
      <c r="X426" s="276" t="s">
        <v>5806</v>
      </c>
      <c r="AA426" t="s">
        <v>25</v>
      </c>
      <c r="AH426" s="147">
        <v>160</v>
      </c>
      <c r="AI426" s="147" t="s">
        <v>5606</v>
      </c>
      <c r="AJ426" s="186">
        <v>150000</v>
      </c>
      <c r="AK426" s="147">
        <v>0</v>
      </c>
      <c r="AL426" s="147">
        <f t="shared" si="105"/>
        <v>160</v>
      </c>
      <c r="AM426" s="147">
        <f t="shared" si="106"/>
        <v>24000000</v>
      </c>
      <c r="AN426" s="147"/>
    </row>
    <row r="427" spans="17:45">
      <c r="Q427" s="97" t="s">
        <v>5672</v>
      </c>
      <c r="R427" s="93">
        <v>4158090.8935679998</v>
      </c>
      <c r="T427" s="19" t="s">
        <v>5800</v>
      </c>
      <c r="U427" s="19">
        <v>965</v>
      </c>
      <c r="V427" s="115">
        <v>2221.2123710000001</v>
      </c>
      <c r="W427" s="115">
        <f t="shared" si="94"/>
        <v>2143469.938015</v>
      </c>
      <c r="X427" s="276" t="s">
        <v>5140</v>
      </c>
      <c r="AH427" s="20">
        <v>161</v>
      </c>
      <c r="AI427" s="20" t="s">
        <v>5606</v>
      </c>
      <c r="AJ427" s="115">
        <v>-683050</v>
      </c>
      <c r="AK427" s="20">
        <v>7</v>
      </c>
      <c r="AL427" s="20">
        <f t="shared" si="105"/>
        <v>160</v>
      </c>
      <c r="AM427" s="20">
        <f t="shared" si="106"/>
        <v>-109288000</v>
      </c>
      <c r="AN427" s="20" t="s">
        <v>5620</v>
      </c>
    </row>
    <row r="428" spans="17:45">
      <c r="Q428" s="97" t="s">
        <v>5677</v>
      </c>
      <c r="R428" s="93">
        <v>110770524.97879399</v>
      </c>
      <c r="T428" s="187" t="s">
        <v>5808</v>
      </c>
      <c r="U428" s="187">
        <v>596</v>
      </c>
      <c r="V428" s="186">
        <v>2180.6765719999999</v>
      </c>
      <c r="W428" s="186">
        <f t="shared" si="94"/>
        <v>1299683.236912</v>
      </c>
      <c r="X428" s="275" t="s">
        <v>1071</v>
      </c>
      <c r="AH428" s="147">
        <v>162</v>
      </c>
      <c r="AI428" s="147" t="s">
        <v>5628</v>
      </c>
      <c r="AJ428" s="186">
        <v>200000</v>
      </c>
      <c r="AK428" s="147">
        <v>7</v>
      </c>
      <c r="AL428" s="147">
        <f t="shared" si="105"/>
        <v>153</v>
      </c>
      <c r="AM428" s="147">
        <f t="shared" si="106"/>
        <v>30600000</v>
      </c>
      <c r="AN428" s="147"/>
    </row>
    <row r="429" spans="17:45">
      <c r="Q429" s="97" t="s">
        <v>5673</v>
      </c>
      <c r="R429" s="93">
        <v>17900000</v>
      </c>
      <c r="T429" s="19" t="s">
        <v>5816</v>
      </c>
      <c r="U429" s="19">
        <v>1355</v>
      </c>
      <c r="V429" s="115">
        <v>2277.0926330000002</v>
      </c>
      <c r="W429" s="115">
        <f t="shared" si="94"/>
        <v>3085460.5177150001</v>
      </c>
      <c r="X429" s="276" t="s">
        <v>5140</v>
      </c>
      <c r="AH429" s="147">
        <v>163</v>
      </c>
      <c r="AI429" s="147" t="s">
        <v>5633</v>
      </c>
      <c r="AJ429" s="186">
        <v>150000</v>
      </c>
      <c r="AK429" s="147">
        <v>5</v>
      </c>
      <c r="AL429" s="147">
        <f t="shared" si="105"/>
        <v>146</v>
      </c>
      <c r="AM429" s="147">
        <f t="shared" si="106"/>
        <v>21900000</v>
      </c>
      <c r="AN429" s="147"/>
    </row>
    <row r="430" spans="17:45">
      <c r="Q430" s="97" t="s">
        <v>5677</v>
      </c>
      <c r="R430" s="93">
        <v>12114824.927374</v>
      </c>
      <c r="T430" s="19" t="s">
        <v>5818</v>
      </c>
      <c r="U430" s="19">
        <v>3742</v>
      </c>
      <c r="V430" s="115">
        <v>2207.7650429999999</v>
      </c>
      <c r="W430" s="115">
        <f t="shared" si="94"/>
        <v>8261456.790906</v>
      </c>
      <c r="X430" s="276" t="s">
        <v>5140</v>
      </c>
      <c r="Y430" t="s">
        <v>25</v>
      </c>
      <c r="AH430" s="20">
        <v>164</v>
      </c>
      <c r="AI430" s="20" t="s">
        <v>5637</v>
      </c>
      <c r="AJ430" s="115">
        <v>320000</v>
      </c>
      <c r="AK430" s="20">
        <v>2</v>
      </c>
      <c r="AL430" s="20">
        <f t="shared" si="105"/>
        <v>141</v>
      </c>
      <c r="AM430" s="20">
        <f t="shared" si="106"/>
        <v>45120000</v>
      </c>
      <c r="AN430" s="20"/>
    </row>
    <row r="431" spans="17:45">
      <c r="Q431" s="97" t="s">
        <v>5694</v>
      </c>
      <c r="R431" s="93">
        <v>6684147.0064600008</v>
      </c>
      <c r="T431" s="19" t="s">
        <v>5820</v>
      </c>
      <c r="U431" s="19">
        <v>3216</v>
      </c>
      <c r="V431" s="115">
        <v>2043.648557</v>
      </c>
      <c r="W431" s="115">
        <f t="shared" si="94"/>
        <v>6572373.7593120001</v>
      </c>
      <c r="X431" s="276" t="s">
        <v>5140</v>
      </c>
      <c r="Y431" t="s">
        <v>25</v>
      </c>
      <c r="AH431" s="20">
        <v>165</v>
      </c>
      <c r="AI431" s="20" t="s">
        <v>5638</v>
      </c>
      <c r="AJ431" s="115">
        <v>200000</v>
      </c>
      <c r="AK431" s="20">
        <v>29</v>
      </c>
      <c r="AL431" s="20">
        <f t="shared" si="105"/>
        <v>139</v>
      </c>
      <c r="AM431" s="20">
        <f t="shared" si="106"/>
        <v>27800000</v>
      </c>
      <c r="AN431" s="20"/>
    </row>
    <row r="432" spans="17:45">
      <c r="Q432" s="97" t="s">
        <v>5698</v>
      </c>
      <c r="R432" s="93">
        <v>1826535.2307560001</v>
      </c>
      <c r="T432" s="187" t="s">
        <v>5824</v>
      </c>
      <c r="U432" s="187">
        <v>42393</v>
      </c>
      <c r="V432" s="186">
        <v>2124.4852740000001</v>
      </c>
      <c r="W432" s="186">
        <f t="shared" si="94"/>
        <v>90063304.22068201</v>
      </c>
      <c r="X432" s="275" t="s">
        <v>5825</v>
      </c>
      <c r="AA432" t="s">
        <v>25</v>
      </c>
      <c r="AH432" s="20">
        <v>166</v>
      </c>
      <c r="AI432" s="20" t="s">
        <v>5673</v>
      </c>
      <c r="AJ432" s="115">
        <v>4200000</v>
      </c>
      <c r="AK432" s="20">
        <v>0</v>
      </c>
      <c r="AL432" s="20">
        <f t="shared" si="105"/>
        <v>110</v>
      </c>
      <c r="AM432" s="20">
        <f t="shared" si="106"/>
        <v>462000000</v>
      </c>
      <c r="AN432" s="20"/>
    </row>
    <row r="433" spans="17:45">
      <c r="Q433" s="97" t="s">
        <v>5702</v>
      </c>
      <c r="R433" s="93">
        <v>3577366.94</v>
      </c>
      <c r="T433" s="19" t="s">
        <v>5826</v>
      </c>
      <c r="U433" s="19">
        <v>1307</v>
      </c>
      <c r="V433" s="115">
        <v>2213.652313</v>
      </c>
      <c r="W433" s="115">
        <f t="shared" si="94"/>
        <v>2893243.5730909999</v>
      </c>
      <c r="X433" s="276" t="s">
        <v>5140</v>
      </c>
      <c r="Y433" t="s">
        <v>25</v>
      </c>
      <c r="AH433" s="147">
        <v>167</v>
      </c>
      <c r="AI433" s="147" t="s">
        <v>5673</v>
      </c>
      <c r="AJ433" s="186">
        <v>3300000</v>
      </c>
      <c r="AK433" s="147">
        <v>11</v>
      </c>
      <c r="AL433" s="147">
        <f t="shared" si="105"/>
        <v>110</v>
      </c>
      <c r="AM433" s="147">
        <f t="shared" si="106"/>
        <v>363000000</v>
      </c>
      <c r="AN433" s="147"/>
    </row>
    <row r="434" spans="17:45">
      <c r="Q434" s="97" t="s">
        <v>5704</v>
      </c>
      <c r="R434" s="93">
        <v>21239029.173567999</v>
      </c>
      <c r="T434" s="19" t="s">
        <v>5829</v>
      </c>
      <c r="U434" s="19">
        <v>44079</v>
      </c>
      <c r="V434" s="115">
        <v>2155.0411519999998</v>
      </c>
      <c r="W434" s="115">
        <f t="shared" si="94"/>
        <v>94992058.939007998</v>
      </c>
      <c r="X434" s="276" t="s">
        <v>5140</v>
      </c>
      <c r="Y434" t="s">
        <v>25</v>
      </c>
      <c r="AH434" s="147">
        <v>168</v>
      </c>
      <c r="AI434" s="147" t="s">
        <v>5704</v>
      </c>
      <c r="AJ434" s="186">
        <v>-1500000</v>
      </c>
      <c r="AK434" s="147">
        <v>42</v>
      </c>
      <c r="AL434" s="147">
        <f t="shared" si="105"/>
        <v>99</v>
      </c>
      <c r="AM434" s="147">
        <f t="shared" si="106"/>
        <v>-148500000</v>
      </c>
      <c r="AN434" s="147"/>
    </row>
    <row r="435" spans="17:45">
      <c r="Q435" s="97" t="s">
        <v>5709</v>
      </c>
      <c r="R435" s="93">
        <v>242957252.40163299</v>
      </c>
      <c r="T435" s="19" t="s">
        <v>5836</v>
      </c>
      <c r="U435" s="19">
        <v>131</v>
      </c>
      <c r="V435" s="115">
        <v>2099.4040150000001</v>
      </c>
      <c r="W435" s="115">
        <f t="shared" si="94"/>
        <v>275021.925965</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5714</v>
      </c>
      <c r="R436" s="93">
        <v>7357181.2750800001</v>
      </c>
      <c r="T436" s="19" t="s">
        <v>5844</v>
      </c>
      <c r="U436" s="19">
        <v>162</v>
      </c>
      <c r="V436" s="115">
        <v>2021.3081500000001</v>
      </c>
      <c r="W436" s="115">
        <f t="shared" si="94"/>
        <v>327451.9203</v>
      </c>
      <c r="X436" s="276" t="s">
        <v>5140</v>
      </c>
      <c r="AH436" s="20">
        <v>170</v>
      </c>
      <c r="AI436" s="20" t="s">
        <v>5789</v>
      </c>
      <c r="AJ436" s="115">
        <v>20000</v>
      </c>
      <c r="AK436" s="20">
        <v>0</v>
      </c>
      <c r="AL436" s="20">
        <f t="shared" si="105"/>
        <v>35</v>
      </c>
      <c r="AM436" s="20">
        <f t="shared" si="106"/>
        <v>700000</v>
      </c>
      <c r="AN436" s="20"/>
    </row>
    <row r="437" spans="17:45">
      <c r="Q437" s="97" t="s">
        <v>5715</v>
      </c>
      <c r="R437" s="93">
        <v>14951411.942400001</v>
      </c>
      <c r="T437" s="19" t="s">
        <v>5863</v>
      </c>
      <c r="U437" s="19">
        <v>131</v>
      </c>
      <c r="V437" s="115">
        <v>1985.358328</v>
      </c>
      <c r="W437" s="115">
        <f t="shared" si="94"/>
        <v>260081.94096800001</v>
      </c>
      <c r="X437" s="276" t="s">
        <v>5140</v>
      </c>
      <c r="Z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5719</v>
      </c>
      <c r="R438" s="93">
        <v>47928209.377011999</v>
      </c>
      <c r="T438" s="19"/>
      <c r="U438" s="19"/>
      <c r="V438" s="115"/>
      <c r="W438" s="115">
        <f t="shared" si="94"/>
        <v>0</v>
      </c>
      <c r="X438" s="276"/>
      <c r="AH438" s="147">
        <v>172</v>
      </c>
      <c r="AI438" s="147" t="s">
        <v>5800</v>
      </c>
      <c r="AJ438" s="186">
        <v>70000</v>
      </c>
      <c r="AK438" s="147">
        <v>0</v>
      </c>
      <c r="AL438" s="147">
        <f t="shared" si="107"/>
        <v>28</v>
      </c>
      <c r="AM438" s="147">
        <f t="shared" si="108"/>
        <v>1960000</v>
      </c>
      <c r="AN438" s="147"/>
    </row>
    <row r="439" spans="17:45">
      <c r="Q439" s="97" t="s">
        <v>5721</v>
      </c>
      <c r="R439" s="93">
        <v>2281595.69937</v>
      </c>
      <c r="T439" s="19"/>
      <c r="U439" s="19"/>
      <c r="V439" s="115"/>
      <c r="W439" s="115">
        <f t="shared" si="94"/>
        <v>0</v>
      </c>
      <c r="X439" s="276"/>
      <c r="Z439" t="s">
        <v>25</v>
      </c>
      <c r="AH439" s="20">
        <v>173</v>
      </c>
      <c r="AI439" s="20" t="s">
        <v>5800</v>
      </c>
      <c r="AJ439" s="115">
        <v>70000</v>
      </c>
      <c r="AK439" s="20">
        <v>1</v>
      </c>
      <c r="AL439" s="20">
        <f t="shared" si="107"/>
        <v>28</v>
      </c>
      <c r="AM439" s="20">
        <f t="shared" si="108"/>
        <v>1960000</v>
      </c>
      <c r="AN439" s="20"/>
      <c r="AS439" t="s">
        <v>25</v>
      </c>
    </row>
    <row r="440" spans="17:45">
      <c r="Q440" s="97" t="s">
        <v>5723</v>
      </c>
      <c r="R440" s="93">
        <v>2964916.035069</v>
      </c>
      <c r="T440" s="97"/>
      <c r="U440" s="166"/>
      <c r="V440" s="111"/>
      <c r="W440" s="115">
        <f t="shared" si="94"/>
        <v>0</v>
      </c>
      <c r="X440" s="97"/>
      <c r="Z440" t="s">
        <v>25</v>
      </c>
      <c r="AH440" s="20">
        <v>174</v>
      </c>
      <c r="AI440" s="20" t="s">
        <v>5808</v>
      </c>
      <c r="AJ440" s="115">
        <v>330000</v>
      </c>
      <c r="AK440" s="20">
        <v>0</v>
      </c>
      <c r="AL440" s="20">
        <f t="shared" si="107"/>
        <v>27</v>
      </c>
      <c r="AM440" s="20">
        <f t="shared" si="108"/>
        <v>8910000</v>
      </c>
      <c r="AN440" s="20"/>
    </row>
    <row r="441" spans="17:45">
      <c r="Q441" s="97" t="s">
        <v>5724</v>
      </c>
      <c r="R441" s="93">
        <v>6460549.4269619994</v>
      </c>
      <c r="T441" s="166"/>
      <c r="U441" s="166">
        <f>SUM(U147:U440)</f>
        <v>4425984</v>
      </c>
      <c r="V441" s="97"/>
      <c r="W441" s="97"/>
      <c r="X441" s="97"/>
      <c r="Z441" t="s">
        <v>25</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5726</v>
      </c>
      <c r="R442" s="93">
        <v>5212319.8968359996</v>
      </c>
      <c r="T442" s="97"/>
      <c r="U442" s="97" t="s">
        <v>6</v>
      </c>
      <c r="V442" s="97"/>
      <c r="W442" s="97"/>
      <c r="X442" s="97"/>
      <c r="AH442" s="147">
        <v>176</v>
      </c>
      <c r="AI442" s="147" t="s">
        <v>5824</v>
      </c>
      <c r="AJ442" s="186">
        <v>90000000</v>
      </c>
      <c r="AK442" s="147">
        <v>16</v>
      </c>
      <c r="AL442" s="147">
        <f t="shared" si="109"/>
        <v>17</v>
      </c>
      <c r="AM442" s="147">
        <f t="shared" si="110"/>
        <v>1530000000</v>
      </c>
      <c r="AN442" s="147"/>
    </row>
    <row r="443" spans="17:45">
      <c r="Q443" s="97" t="s">
        <v>5729</v>
      </c>
      <c r="R443" s="93">
        <v>4524496.4792809999</v>
      </c>
      <c r="T443" s="198" t="s">
        <v>4439</v>
      </c>
      <c r="AH443" s="147">
        <v>177</v>
      </c>
      <c r="AI443" s="147" t="s">
        <v>5859</v>
      </c>
      <c r="AJ443" s="186">
        <v>-15000000</v>
      </c>
      <c r="AK443" s="147">
        <v>1</v>
      </c>
      <c r="AL443" s="147">
        <f t="shared" si="109"/>
        <v>1</v>
      </c>
      <c r="AM443" s="147">
        <f t="shared" si="110"/>
        <v>-15000000</v>
      </c>
      <c r="AN443" s="147" t="s">
        <v>5860</v>
      </c>
    </row>
    <row r="444" spans="17:45">
      <c r="Q444" s="97" t="s">
        <v>5731</v>
      </c>
      <c r="R444" s="93">
        <v>22866040.240959998</v>
      </c>
      <c r="T444" s="197">
        <f>R164/U441</f>
        <v>1985.6976017084562</v>
      </c>
      <c r="X444" t="s">
        <v>25</v>
      </c>
      <c r="AA444" t="s">
        <v>25</v>
      </c>
      <c r="AH444" s="20"/>
      <c r="AI444" s="20"/>
      <c r="AJ444" s="115"/>
      <c r="AK444" s="20"/>
      <c r="AL444" s="20">
        <f t="shared" si="109"/>
        <v>0</v>
      </c>
      <c r="AM444" s="20">
        <f t="shared" si="110"/>
        <v>0</v>
      </c>
      <c r="AN444" s="20"/>
      <c r="AR444" t="s">
        <v>25</v>
      </c>
    </row>
    <row r="445" spans="17:45">
      <c r="Q445" s="97" t="s">
        <v>5733</v>
      </c>
      <c r="R445" s="93">
        <v>15359304.269892</v>
      </c>
      <c r="W445" s="112"/>
      <c r="X445" t="s">
        <v>25</v>
      </c>
      <c r="AH445" s="20"/>
      <c r="AI445" s="20"/>
      <c r="AJ445" s="115"/>
      <c r="AK445" s="20"/>
      <c r="AL445" s="20">
        <f t="shared" si="109"/>
        <v>0</v>
      </c>
      <c r="AM445" s="20">
        <f t="shared" si="110"/>
        <v>0</v>
      </c>
      <c r="AN445" s="20"/>
    </row>
    <row r="446" spans="17:45">
      <c r="Q446" s="97" t="s">
        <v>5735</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5736</v>
      </c>
      <c r="R447" s="93">
        <v>17450393.011856001</v>
      </c>
      <c r="T447" s="112"/>
      <c r="U447" s="93">
        <v>-260642</v>
      </c>
      <c r="V447">
        <f>U447/T444</f>
        <v>-131.25966399705001</v>
      </c>
      <c r="X447" t="s">
        <v>25</v>
      </c>
      <c r="AH447" s="97"/>
      <c r="AI447" s="97"/>
      <c r="AJ447" s="115"/>
      <c r="AK447" s="97"/>
      <c r="AL447" s="20">
        <f t="shared" si="109"/>
        <v>0</v>
      </c>
      <c r="AM447" s="20">
        <f t="shared" si="110"/>
        <v>0</v>
      </c>
      <c r="AN447" s="20"/>
    </row>
    <row r="448" spans="17:45">
      <c r="Q448" s="97" t="s">
        <v>5737</v>
      </c>
      <c r="R448" s="93">
        <v>31388943.254850004</v>
      </c>
      <c r="T448" t="s">
        <v>25</v>
      </c>
      <c r="X448" t="s">
        <v>25</v>
      </c>
      <c r="AH448" s="97"/>
      <c r="AI448" s="97"/>
      <c r="AJ448" s="115"/>
      <c r="AK448" s="97"/>
      <c r="AL448" s="20">
        <f t="shared" si="107"/>
        <v>0</v>
      </c>
      <c r="AM448" s="20">
        <f t="shared" si="108"/>
        <v>0</v>
      </c>
      <c r="AN448" s="97"/>
    </row>
    <row r="449" spans="17:44">
      <c r="Q449" s="97" t="s">
        <v>5738</v>
      </c>
      <c r="R449" s="93">
        <v>30912095.373174001</v>
      </c>
      <c r="T449" t="s">
        <v>25</v>
      </c>
      <c r="U449" s="94" t="s">
        <v>25</v>
      </c>
      <c r="V449" s="22"/>
      <c r="W449" s="219"/>
      <c r="X449" s="286" t="s">
        <v>25</v>
      </c>
      <c r="AH449" s="97"/>
      <c r="AI449" s="97"/>
      <c r="AJ449" s="93">
        <f>SUM(AJ267:AJ448)</f>
        <v>242800355</v>
      </c>
      <c r="AK449" s="97"/>
      <c r="AL449" s="97"/>
      <c r="AM449" s="97">
        <f>SUM(AM267:AM448)</f>
        <v>205833800724</v>
      </c>
      <c r="AN449" s="93">
        <f>AM449*AN253/31</f>
        <v>110665546.9892551</v>
      </c>
      <c r="AR449" t="s">
        <v>25</v>
      </c>
    </row>
    <row r="450" spans="17:44">
      <c r="Q450" s="97" t="s">
        <v>5740</v>
      </c>
      <c r="R450" s="93">
        <v>19602926.115093999</v>
      </c>
      <c r="V450" t="s">
        <v>25</v>
      </c>
      <c r="X450" t="s">
        <v>25</v>
      </c>
      <c r="AJ450" t="s">
        <v>4043</v>
      </c>
      <c r="AM450" t="s">
        <v>284</v>
      </c>
      <c r="AN450" t="s">
        <v>928</v>
      </c>
    </row>
    <row r="451" spans="17:44">
      <c r="Q451" s="97" t="s">
        <v>5744</v>
      </c>
      <c r="R451" s="93">
        <v>34458590.308710001</v>
      </c>
      <c r="W451" s="112"/>
      <c r="X451" t="s">
        <v>25</v>
      </c>
      <c r="AF451" s="94" t="s">
        <v>25</v>
      </c>
    </row>
    <row r="452" spans="17:44" ht="60">
      <c r="Q452" s="97" t="s">
        <v>5747</v>
      </c>
      <c r="R452" s="93">
        <v>21697868.203256</v>
      </c>
      <c r="T452" s="22" t="s">
        <v>4425</v>
      </c>
      <c r="V452" s="219"/>
      <c r="AI452" t="s">
        <v>4045</v>
      </c>
      <c r="AJ452" s="112">
        <f>AJ449+AN449</f>
        <v>353465901.98925507</v>
      </c>
    </row>
    <row r="453" spans="17:44" ht="45">
      <c r="Q453" s="97" t="s">
        <v>5749</v>
      </c>
      <c r="R453" s="93">
        <v>25340079.252110001</v>
      </c>
      <c r="T453" s="22" t="s">
        <v>4426</v>
      </c>
      <c r="W453" s="286"/>
      <c r="AI453" t="s">
        <v>4048</v>
      </c>
      <c r="AJ453" s="112">
        <f>SUM(N20:N28)</f>
        <v>3380498940</v>
      </c>
    </row>
    <row r="454" spans="17:44">
      <c r="Q454" s="97" t="s">
        <v>5750</v>
      </c>
      <c r="R454" s="93">
        <v>14780983.183526</v>
      </c>
      <c r="AI454" t="s">
        <v>4119</v>
      </c>
      <c r="AJ454" s="112">
        <f>AJ453-AJ449</f>
        <v>3137698585</v>
      </c>
    </row>
    <row r="455" spans="17:44">
      <c r="Q455" s="97" t="s">
        <v>5753</v>
      </c>
      <c r="R455" s="93">
        <v>17804396.448481999</v>
      </c>
      <c r="AI455" t="s">
        <v>928</v>
      </c>
      <c r="AJ455" s="112">
        <f>AN449</f>
        <v>110665546.9892551</v>
      </c>
    </row>
    <row r="456" spans="17:44">
      <c r="Q456" s="97" t="s">
        <v>5753</v>
      </c>
      <c r="R456" s="93">
        <v>260260000</v>
      </c>
      <c r="T456" s="97" t="s">
        <v>4441</v>
      </c>
      <c r="U456" s="97" t="s">
        <v>4420</v>
      </c>
      <c r="V456" s="97" t="s">
        <v>938</v>
      </c>
      <c r="W456" s="72" t="s">
        <v>5600</v>
      </c>
      <c r="AI456" t="s">
        <v>4049</v>
      </c>
      <c r="AJ456" s="112">
        <f>AJ454-AJ455</f>
        <v>3027033038.010745</v>
      </c>
      <c r="AM456" t="s">
        <v>25</v>
      </c>
      <c r="AN456" t="s">
        <v>25</v>
      </c>
    </row>
    <row r="457" spans="17:44">
      <c r="Q457" s="97" t="s">
        <v>5758</v>
      </c>
      <c r="R457" s="93">
        <v>11538335.631417999</v>
      </c>
      <c r="T457" s="93">
        <f>S229+R288+R480</f>
        <v>2622739624.9203467</v>
      </c>
      <c r="U457" s="93">
        <f>R164</f>
        <v>8788665814</v>
      </c>
      <c r="V457" s="93">
        <f>U457-T457</f>
        <v>6165926189.0796528</v>
      </c>
      <c r="AL457" t="s">
        <v>25</v>
      </c>
      <c r="AM457" t="s">
        <v>25</v>
      </c>
      <c r="AN457" t="s">
        <v>25</v>
      </c>
    </row>
    <row r="458" spans="17:44">
      <c r="Q458" s="97" t="s">
        <v>5759</v>
      </c>
      <c r="R458" s="93">
        <v>12429517.767776001</v>
      </c>
      <c r="W458" s="94" t="s">
        <v>25</v>
      </c>
    </row>
    <row r="459" spans="17:44">
      <c r="Q459" s="97" t="s">
        <v>5771</v>
      </c>
      <c r="R459" s="93">
        <v>5031176.5087869996</v>
      </c>
    </row>
    <row r="460" spans="17:44">
      <c r="Q460" s="97" t="s">
        <v>5774</v>
      </c>
      <c r="R460" s="93">
        <v>6822803.9080700008</v>
      </c>
      <c r="T460" s="115"/>
      <c r="V460" s="112">
        <f>(444000000+2500000)*2/3</f>
        <v>297666666.66666669</v>
      </c>
      <c r="AN460" t="s">
        <v>25</v>
      </c>
    </row>
    <row r="461" spans="17:44">
      <c r="Q461" s="97" t="s">
        <v>5778</v>
      </c>
      <c r="R461" s="93">
        <v>330889.73324399994</v>
      </c>
      <c r="AN461" t="s">
        <v>25</v>
      </c>
    </row>
    <row r="462" spans="17:44">
      <c r="Q462" s="97" t="s">
        <v>5788</v>
      </c>
      <c r="R462" s="93">
        <v>6610318.1610199995</v>
      </c>
      <c r="T462" s="112">
        <f>W299+W300+W302+W303+W305+W306</f>
        <v>-301699041.74755996</v>
      </c>
    </row>
    <row r="463" spans="17:44">
      <c r="Q463" s="97" t="s">
        <v>5789</v>
      </c>
      <c r="R463" s="93">
        <v>710713.17725199996</v>
      </c>
      <c r="T463" t="s">
        <v>25</v>
      </c>
    </row>
    <row r="464" spans="17:44">
      <c r="Q464" s="97" t="s">
        <v>5791</v>
      </c>
      <c r="R464" s="93">
        <v>81025</v>
      </c>
      <c r="T464" s="112">
        <f>V460+T462</f>
        <v>-4032375.0808932781</v>
      </c>
    </row>
    <row r="465" spans="17:24">
      <c r="Q465" s="97" t="s">
        <v>5795</v>
      </c>
      <c r="R465" s="93">
        <v>219696.613128</v>
      </c>
      <c r="T465" t="s">
        <v>25</v>
      </c>
    </row>
    <row r="466" spans="17:24">
      <c r="Q466" s="97" t="s">
        <v>5796</v>
      </c>
      <c r="R466" s="93">
        <v>6035472.4070199998</v>
      </c>
      <c r="T466" t="s">
        <v>25</v>
      </c>
    </row>
    <row r="467" spans="17:24">
      <c r="Q467" s="97" t="s">
        <v>5798</v>
      </c>
      <c r="R467" s="93">
        <v>984486.34963200008</v>
      </c>
    </row>
    <row r="468" spans="17:24">
      <c r="Q468" s="97" t="s">
        <v>5800</v>
      </c>
      <c r="R468" s="93">
        <v>2143469.938015</v>
      </c>
    </row>
    <row r="469" spans="17:24">
      <c r="Q469" s="97" t="s">
        <v>5816</v>
      </c>
      <c r="R469" s="93">
        <v>3085460.5177150001</v>
      </c>
      <c r="T469" t="s">
        <v>25</v>
      </c>
    </row>
    <row r="470" spans="17:24">
      <c r="Q470" s="97" t="s">
        <v>5818</v>
      </c>
      <c r="R470" s="93">
        <v>8261456.790906</v>
      </c>
      <c r="T470" t="s">
        <v>25</v>
      </c>
    </row>
    <row r="471" spans="17:24">
      <c r="Q471" s="97" t="s">
        <v>5820</v>
      </c>
      <c r="R471" s="93">
        <v>6572373.7593120001</v>
      </c>
      <c r="U471" s="94" t="s">
        <v>25</v>
      </c>
      <c r="W471" s="94" t="s">
        <v>25</v>
      </c>
    </row>
    <row r="472" spans="17:24">
      <c r="Q472" s="97" t="s">
        <v>5826</v>
      </c>
      <c r="R472" s="93">
        <v>2893243.5730909999</v>
      </c>
      <c r="T472" t="s">
        <v>5828</v>
      </c>
      <c r="X472" t="s">
        <v>25</v>
      </c>
    </row>
    <row r="473" spans="17:24">
      <c r="Q473" s="97" t="s">
        <v>5829</v>
      </c>
      <c r="R473" s="93">
        <v>94992058.939007998</v>
      </c>
      <c r="T473" t="s">
        <v>25</v>
      </c>
      <c r="V473" t="s">
        <v>25</v>
      </c>
    </row>
    <row r="474" spans="17:24">
      <c r="Q474" s="97" t="s">
        <v>5836</v>
      </c>
      <c r="R474" s="93">
        <v>275021.925965</v>
      </c>
      <c r="T474" t="s">
        <v>25</v>
      </c>
      <c r="U474" s="94" t="s">
        <v>25</v>
      </c>
    </row>
    <row r="475" spans="17:24">
      <c r="Q475" s="97" t="s">
        <v>5844</v>
      </c>
      <c r="R475" s="93">
        <v>327451.9203</v>
      </c>
      <c r="T475" t="s">
        <v>25</v>
      </c>
      <c r="U475" s="94" t="s">
        <v>25</v>
      </c>
      <c r="V475" t="s">
        <v>25</v>
      </c>
    </row>
    <row r="476" spans="17:24">
      <c r="Q476" s="97" t="s">
        <v>5863</v>
      </c>
      <c r="R476" s="93">
        <v>260081.94096800001</v>
      </c>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2345842641.4689469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6"/>
  <sheetViews>
    <sheetView topLeftCell="A81" zoomScale="70" zoomScaleNormal="70" workbookViewId="0">
      <selection activeCell="K105" sqref="K10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C118</f>
        <v>22500</v>
      </c>
      <c r="D92" s="287">
        <v>1</v>
      </c>
      <c r="E92" s="60" t="s">
        <v>4358</v>
      </c>
      <c r="F92" s="49">
        <f>C119</f>
        <v>16220</v>
      </c>
      <c r="G92" s="60">
        <f>C92*D92*0.99114/(F92*1.0037158)</f>
        <v>1.369796055098367</v>
      </c>
      <c r="H92" s="205">
        <f>C92/F92</f>
        <v>1.3871763255240444</v>
      </c>
      <c r="I92" s="317">
        <f>F92/C92</f>
        <v>0.72088888888888891</v>
      </c>
      <c r="J92" s="20"/>
      <c r="K92" s="20">
        <f>H92/H89</f>
        <v>1.0460515510651081</v>
      </c>
      <c r="L92" s="20">
        <f>(1/K92-1.0256)*100</f>
        <v>-6.9624169763160886</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103" si="20">C95*D95*0.99114/(F95*1.0037158)</f>
        <v>13024.635497574944</v>
      </c>
      <c r="H95" s="290">
        <f t="shared" ref="H95:H103" si="21">C95/F95</f>
        <v>13.500404203718674</v>
      </c>
      <c r="I95" s="301">
        <f t="shared" ref="I95:I103"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21800</v>
      </c>
      <c r="Y95" s="115">
        <f>T95*X95</f>
        <v>19053200</v>
      </c>
    </row>
    <row r="96" spans="1:25">
      <c r="A96" s="60" t="s">
        <v>5841</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99" si="23">H96/H95</f>
        <v>1.0370059880239522</v>
      </c>
      <c r="L96" s="20"/>
      <c r="M96" s="20"/>
      <c r="N96" s="20"/>
      <c r="R96" s="97"/>
      <c r="S96" s="97" t="s">
        <v>4220</v>
      </c>
      <c r="T96" s="97">
        <v>295000</v>
      </c>
      <c r="U96" s="115">
        <v>148594302</v>
      </c>
      <c r="V96" s="115">
        <f>U96/T96</f>
        <v>503.70949830508476</v>
      </c>
      <c r="W96" s="115">
        <f>V96*1.01</f>
        <v>508.74659328813561</v>
      </c>
      <c r="X96" s="97">
        <f>'برنامه 5 ساله'!P28</f>
        <v>1179</v>
      </c>
      <c r="Y96" s="115">
        <f>T96*X96</f>
        <v>347805000</v>
      </c>
    </row>
    <row r="97" spans="1:27">
      <c r="A97" s="60" t="s">
        <v>5852</v>
      </c>
      <c r="B97" s="60" t="s">
        <v>4358</v>
      </c>
      <c r="C97" s="49">
        <v>16173</v>
      </c>
      <c r="D97" s="60">
        <v>1116.3800000000001</v>
      </c>
      <c r="E97" s="289" t="s">
        <v>4220</v>
      </c>
      <c r="F97" s="291">
        <v>1147</v>
      </c>
      <c r="G97" s="289">
        <f t="shared" si="20"/>
        <v>15544.024031861261</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5859</v>
      </c>
      <c r="B98" s="60" t="s">
        <v>4358</v>
      </c>
      <c r="C98" s="49">
        <v>16097.2</v>
      </c>
      <c r="D98" s="60">
        <v>4284</v>
      </c>
      <c r="E98" s="289" t="s">
        <v>4220</v>
      </c>
      <c r="F98" s="291">
        <v>1171</v>
      </c>
      <c r="G98" s="289">
        <f t="shared" si="20"/>
        <v>58152.333965199345</v>
      </c>
      <c r="H98" s="290">
        <f t="shared" si="21"/>
        <v>13.746541417591802</v>
      </c>
      <c r="I98" s="301">
        <f t="shared" si="22"/>
        <v>7.2745570658251116E-2</v>
      </c>
      <c r="J98" s="20"/>
      <c r="K98" s="20">
        <f t="shared" si="23"/>
        <v>0.97491393099473178</v>
      </c>
      <c r="L98" s="20"/>
      <c r="M98" s="20"/>
      <c r="N98" s="20"/>
      <c r="O98" t="s">
        <v>25</v>
      </c>
      <c r="R98" s="97" t="s">
        <v>5417</v>
      </c>
      <c r="S98" s="97" t="s">
        <v>5321</v>
      </c>
      <c r="T98" s="97">
        <v>0</v>
      </c>
      <c r="U98" s="115">
        <v>683292</v>
      </c>
      <c r="V98" s="115"/>
      <c r="W98" s="115"/>
      <c r="X98" s="97" t="e">
        <f>'برنامه 5 ساله'!#REF!</f>
        <v>#REF!</v>
      </c>
      <c r="Y98" s="115">
        <f>U98</f>
        <v>683292</v>
      </c>
    </row>
    <row r="99" spans="1:27">
      <c r="A99" s="60" t="s">
        <v>5859</v>
      </c>
      <c r="B99" s="60" t="s">
        <v>4358</v>
      </c>
      <c r="C99" s="49">
        <v>16087</v>
      </c>
      <c r="D99" s="60">
        <v>3000</v>
      </c>
      <c r="E99" s="289" t="s">
        <v>4220</v>
      </c>
      <c r="F99" s="291">
        <v>1172</v>
      </c>
      <c r="G99" s="289">
        <f t="shared" si="20"/>
        <v>40662.394337237733</v>
      </c>
      <c r="H99" s="290">
        <f t="shared" si="21"/>
        <v>13.726109215017065</v>
      </c>
      <c r="I99" s="301">
        <f t="shared" si="22"/>
        <v>7.2853857151737422E-2</v>
      </c>
      <c r="J99" s="20"/>
      <c r="K99" s="20">
        <f t="shared" si="23"/>
        <v>0.99851364776389573</v>
      </c>
      <c r="L99" s="20"/>
      <c r="M99" s="20"/>
      <c r="N99" s="20"/>
      <c r="R99" s="97" t="s">
        <v>5417</v>
      </c>
      <c r="S99" s="97" t="s">
        <v>4519</v>
      </c>
      <c r="T99" s="97">
        <v>0</v>
      </c>
      <c r="U99" s="115">
        <v>270969</v>
      </c>
      <c r="V99" s="115"/>
      <c r="W99" s="115"/>
      <c r="X99" s="97">
        <v>1500</v>
      </c>
      <c r="Y99" s="115">
        <f>U99</f>
        <v>270969</v>
      </c>
      <c r="AA99" t="s">
        <v>25</v>
      </c>
    </row>
    <row r="100" spans="1:27">
      <c r="A100" s="60" t="s">
        <v>5859</v>
      </c>
      <c r="B100" s="60" t="s">
        <v>4358</v>
      </c>
      <c r="C100" s="49">
        <v>16203.7</v>
      </c>
      <c r="D100" s="60">
        <v>402</v>
      </c>
      <c r="E100" s="289" t="s">
        <v>4220</v>
      </c>
      <c r="F100" s="291">
        <v>1164</v>
      </c>
      <c r="G100" s="289">
        <f t="shared" si="20"/>
        <v>5526.0080038202314</v>
      </c>
      <c r="H100" s="290">
        <f t="shared" si="21"/>
        <v>13.920704467353952</v>
      </c>
      <c r="I100" s="301">
        <f t="shared" si="22"/>
        <v>7.1835444990958855E-2</v>
      </c>
      <c r="J100" s="20"/>
      <c r="K100" s="20"/>
      <c r="L100" s="20"/>
      <c r="M100" s="20"/>
      <c r="N100" s="20"/>
      <c r="R100" s="97"/>
      <c r="S100" s="97"/>
      <c r="T100" s="97"/>
      <c r="U100" s="115"/>
      <c r="V100" s="115"/>
      <c r="W100" s="97"/>
      <c r="X100" s="97"/>
      <c r="Y100" s="97"/>
    </row>
    <row r="101" spans="1:27">
      <c r="A101" s="60" t="s">
        <v>5859</v>
      </c>
      <c r="B101" s="60" t="s">
        <v>4358</v>
      </c>
      <c r="C101" s="49">
        <v>16216</v>
      </c>
      <c r="D101" s="60">
        <v>3086</v>
      </c>
      <c r="E101" s="289" t="s">
        <v>4220</v>
      </c>
      <c r="F101" s="291">
        <v>1165</v>
      </c>
      <c r="G101" s="289">
        <f t="shared" si="20"/>
        <v>42416.807178649527</v>
      </c>
      <c r="H101" s="290">
        <f t="shared" si="21"/>
        <v>13.91931330472103</v>
      </c>
      <c r="I101" s="301">
        <f t="shared" si="22"/>
        <v>7.1842624568327573E-2</v>
      </c>
      <c r="J101" s="20"/>
      <c r="K101" s="20"/>
      <c r="L101" s="20"/>
      <c r="M101" s="20"/>
      <c r="N101" s="20"/>
      <c r="O101" t="s">
        <v>25</v>
      </c>
      <c r="P101" t="s">
        <v>25</v>
      </c>
      <c r="R101" s="97"/>
      <c r="S101" s="97"/>
      <c r="T101" s="97"/>
      <c r="U101" s="115"/>
      <c r="V101" s="115"/>
      <c r="W101" s="97"/>
      <c r="X101" s="97"/>
      <c r="Y101" s="97"/>
    </row>
    <row r="102" spans="1:27">
      <c r="A102" s="60"/>
      <c r="B102" s="60"/>
      <c r="C102" s="49"/>
      <c r="D102" s="60"/>
      <c r="E102" s="289"/>
      <c r="F102" s="291"/>
      <c r="G102" s="289"/>
      <c r="H102" s="290"/>
      <c r="I102" s="301"/>
      <c r="J102" s="20"/>
      <c r="K102" s="20"/>
      <c r="L102" s="20"/>
      <c r="M102" s="20"/>
      <c r="N102" s="20"/>
      <c r="P102" t="s">
        <v>25</v>
      </c>
      <c r="Q102" t="s">
        <v>25</v>
      </c>
      <c r="R102" s="97"/>
      <c r="S102" s="97"/>
      <c r="T102" s="97"/>
      <c r="U102" s="115">
        <v>159900000</v>
      </c>
      <c r="V102" s="115"/>
      <c r="W102" s="97"/>
      <c r="X102" s="97"/>
      <c r="Y102" s="93">
        <f>SUM(Y95:Y99)</f>
        <v>375222461</v>
      </c>
    </row>
    <row r="103" spans="1:27">
      <c r="A103" s="60"/>
      <c r="B103" s="60"/>
      <c r="C103" s="49"/>
      <c r="D103" s="60"/>
      <c r="E103" s="289"/>
      <c r="F103" s="291"/>
      <c r="G103" s="289" t="e">
        <f t="shared" si="20"/>
        <v>#DIV/0!</v>
      </c>
      <c r="H103" s="290" t="e">
        <f t="shared" si="21"/>
        <v>#DIV/0!</v>
      </c>
      <c r="I103" s="301" t="e">
        <f t="shared" si="22"/>
        <v>#DIV/0!</v>
      </c>
      <c r="J103" s="20"/>
      <c r="K103" s="20" t="e">
        <f>H103/H99</f>
        <v>#DIV/0!</v>
      </c>
      <c r="L103" s="20"/>
      <c r="M103" s="20"/>
      <c r="N103" s="20"/>
      <c r="O103" t="s">
        <v>25</v>
      </c>
      <c r="R103" s="97"/>
      <c r="S103" s="97"/>
      <c r="T103" s="97"/>
      <c r="U103" s="115"/>
      <c r="V103" s="115"/>
      <c r="W103" s="97"/>
      <c r="X103" s="97"/>
      <c r="Y103" s="97"/>
    </row>
    <row r="104" spans="1:27">
      <c r="A104" s="60"/>
      <c r="B104" s="60" t="s">
        <v>4358</v>
      </c>
      <c r="C104" s="49">
        <f>C119</f>
        <v>16220</v>
      </c>
      <c r="D104" s="60">
        <v>1</v>
      </c>
      <c r="E104" s="289" t="s">
        <v>4220</v>
      </c>
      <c r="F104" s="291">
        <f>C117</f>
        <v>1172</v>
      </c>
      <c r="G104" s="289">
        <f t="shared" ref="G104" si="24">C104*D104*0.99114/(F104*1.0037158)</f>
        <v>13.66619084043008</v>
      </c>
      <c r="H104" s="290">
        <f>C104/F104</f>
        <v>13.839590443686006</v>
      </c>
      <c r="I104" s="301">
        <f>F104/C104</f>
        <v>7.2256473489519107E-2</v>
      </c>
      <c r="J104" s="97"/>
      <c r="K104" s="97">
        <f>H104/H101</f>
        <v>0.99427250042514792</v>
      </c>
      <c r="L104" s="97">
        <f>(1/K104-1.0256)*100</f>
        <v>-1.9839507205114293</v>
      </c>
      <c r="M104" s="97"/>
      <c r="N104" s="97"/>
      <c r="P104" t="s">
        <v>25</v>
      </c>
      <c r="R104" s="97"/>
      <c r="S104" s="97"/>
      <c r="T104" s="97"/>
      <c r="U104" s="97"/>
      <c r="V104" s="97"/>
      <c r="W104" s="97"/>
      <c r="X104" s="97"/>
      <c r="Y104" s="97"/>
    </row>
    <row r="105" spans="1:27">
      <c r="A105" s="295"/>
      <c r="B105" s="295"/>
      <c r="C105" s="296"/>
      <c r="D105" s="295"/>
      <c r="E105" s="295"/>
      <c r="F105" s="296"/>
      <c r="G105" s="295"/>
      <c r="H105" s="297"/>
      <c r="I105" s="302"/>
      <c r="J105" s="295"/>
      <c r="K105" s="295"/>
      <c r="L105" s="295"/>
      <c r="M105" s="295"/>
      <c r="N105" s="97"/>
      <c r="R105" s="97"/>
      <c r="S105" s="97"/>
      <c r="T105" s="97"/>
      <c r="U105" s="97"/>
      <c r="V105" s="97"/>
      <c r="W105" s="97"/>
      <c r="X105" s="97"/>
      <c r="Y105" s="97"/>
    </row>
    <row r="106" spans="1:27" ht="19.5">
      <c r="A106" s="287" t="s">
        <v>5829</v>
      </c>
      <c r="B106" s="287" t="s">
        <v>4362</v>
      </c>
      <c r="C106" s="288">
        <v>21532</v>
      </c>
      <c r="D106" s="287">
        <v>29643</v>
      </c>
      <c r="E106" s="289" t="s">
        <v>4220</v>
      </c>
      <c r="F106" s="291">
        <v>1304.9000000000001</v>
      </c>
      <c r="G106" s="322">
        <f t="shared" ref="G106" si="25">C106*D106*0.99114/(F106*1.0037158)</f>
        <v>483007.12468158372</v>
      </c>
      <c r="H106" s="323">
        <f t="shared" ref="H106" si="26">C106/F106</f>
        <v>16.500881293585714</v>
      </c>
      <c r="I106" s="301">
        <f t="shared" ref="I106" si="27">F106/C106</f>
        <v>6.0602823704254134E-2</v>
      </c>
      <c r="J106" s="97"/>
      <c r="K106" s="303">
        <v>1</v>
      </c>
      <c r="L106" s="312"/>
      <c r="M106" s="217" t="s">
        <v>5542</v>
      </c>
      <c r="N106" s="97"/>
      <c r="P106" t="s">
        <v>25</v>
      </c>
    </row>
    <row r="107" spans="1:27" ht="19.5">
      <c r="A107" s="287" t="s">
        <v>5832</v>
      </c>
      <c r="B107" s="287" t="s">
        <v>4362</v>
      </c>
      <c r="C107" s="288">
        <v>21532</v>
      </c>
      <c r="D107" s="287">
        <v>7188</v>
      </c>
      <c r="E107" s="289" t="s">
        <v>4220</v>
      </c>
      <c r="F107" s="291">
        <v>1285</v>
      </c>
      <c r="G107" s="322">
        <f t="shared" ref="G107:G113" si="28">C107*D107*0.99114/(F107*1.0037158)</f>
        <v>118936.06200201136</v>
      </c>
      <c r="H107" s="323">
        <f t="shared" ref="H107:H113" si="29">C107/F107</f>
        <v>16.756420233463036</v>
      </c>
      <c r="I107" s="301">
        <f t="shared" ref="I107:I113" si="30">F107/C107</f>
        <v>5.9678617871075611E-2</v>
      </c>
      <c r="J107" s="97"/>
      <c r="K107" s="303">
        <f>H107/H106</f>
        <v>1.0154863813229573</v>
      </c>
      <c r="L107" s="60"/>
      <c r="M107" s="60" t="s">
        <v>5543</v>
      </c>
      <c r="N107" s="97"/>
      <c r="P107" t="s">
        <v>25</v>
      </c>
    </row>
    <row r="108" spans="1:27" ht="19.5">
      <c r="A108" s="287" t="s">
        <v>5833</v>
      </c>
      <c r="B108" s="287" t="s">
        <v>4362</v>
      </c>
      <c r="C108" s="288">
        <v>21532</v>
      </c>
      <c r="D108" s="287">
        <v>2917</v>
      </c>
      <c r="E108" s="289" t="s">
        <v>4220</v>
      </c>
      <c r="F108" s="291">
        <v>1274.7</v>
      </c>
      <c r="G108" s="322">
        <f t="shared" si="28"/>
        <v>48656.073333711538</v>
      </c>
      <c r="H108" s="323">
        <f t="shared" si="29"/>
        <v>16.891817682591981</v>
      </c>
      <c r="I108" s="301">
        <f t="shared" si="30"/>
        <v>5.9200260078023412E-2</v>
      </c>
      <c r="J108" s="97"/>
      <c r="K108" s="303">
        <f>H108/H107</f>
        <v>1.0080803326272847</v>
      </c>
      <c r="L108" s="23"/>
      <c r="M108" s="23" t="s">
        <v>5544</v>
      </c>
      <c r="N108" s="97"/>
      <c r="O108" t="s">
        <v>25</v>
      </c>
      <c r="P108" t="s">
        <v>25</v>
      </c>
      <c r="R108" s="97" t="s">
        <v>744</v>
      </c>
      <c r="S108" s="97"/>
      <c r="T108" s="97"/>
      <c r="U108" s="97"/>
      <c r="V108" s="97"/>
      <c r="W108" s="97" t="s">
        <v>1220</v>
      </c>
      <c r="X108" s="97" t="s">
        <v>926</v>
      </c>
      <c r="Y108" s="67" t="s">
        <v>5435</v>
      </c>
      <c r="Z108" t="s">
        <v>25</v>
      </c>
    </row>
    <row r="109" spans="1:27" ht="19.5">
      <c r="A109" s="287" t="s">
        <v>5829</v>
      </c>
      <c r="B109" s="287" t="s">
        <v>4362</v>
      </c>
      <c r="C109" s="288">
        <v>21532</v>
      </c>
      <c r="D109" s="287">
        <v>18278</v>
      </c>
      <c r="E109" s="289" t="s">
        <v>4220</v>
      </c>
      <c r="F109" s="291">
        <v>1270.4000000000001</v>
      </c>
      <c r="G109" s="322">
        <f t="shared" si="28"/>
        <v>305912.2032749952</v>
      </c>
      <c r="H109" s="323">
        <f t="shared" si="29"/>
        <v>16.948992443324936</v>
      </c>
      <c r="I109" s="301">
        <f t="shared" si="30"/>
        <v>5.9000557310050161E-2</v>
      </c>
      <c r="J109" s="97"/>
      <c r="K109" s="303">
        <f>H109/H108</f>
        <v>1.0033847607052897</v>
      </c>
      <c r="L109" s="36"/>
      <c r="M109" s="97"/>
      <c r="N109" s="97"/>
      <c r="R109" s="97"/>
      <c r="S109" s="97" t="s">
        <v>4362</v>
      </c>
      <c r="T109" s="97">
        <v>4279</v>
      </c>
      <c r="U109" s="115">
        <v>32796123</v>
      </c>
      <c r="V109" s="115">
        <f>U109/T109</f>
        <v>7664.436316896471</v>
      </c>
      <c r="W109" s="115">
        <f>V109*1.01</f>
        <v>7741.0806800654354</v>
      </c>
      <c r="X109" s="97">
        <f>X95</f>
        <v>21800</v>
      </c>
      <c r="Y109" s="97">
        <f>T109*X109</f>
        <v>93282200</v>
      </c>
    </row>
    <row r="110" spans="1:27" ht="19.5">
      <c r="A110" s="287" t="s">
        <v>5852</v>
      </c>
      <c r="B110" s="287" t="s">
        <v>4362</v>
      </c>
      <c r="C110" s="288">
        <v>21239</v>
      </c>
      <c r="D110" s="287">
        <v>439</v>
      </c>
      <c r="E110" s="289" t="s">
        <v>4220</v>
      </c>
      <c r="F110" s="291">
        <v>1148</v>
      </c>
      <c r="G110" s="322">
        <f t="shared" si="28"/>
        <v>8020.121359133871</v>
      </c>
      <c r="H110" s="323">
        <f t="shared" si="29"/>
        <v>18.500871080139373</v>
      </c>
      <c r="I110" s="301">
        <f t="shared" si="30"/>
        <v>5.4051509016432034E-2</v>
      </c>
      <c r="J110" s="97"/>
      <c r="K110" s="303"/>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c r="B111" s="287"/>
      <c r="C111" s="288"/>
      <c r="D111" s="287"/>
      <c r="E111" s="289"/>
      <c r="F111" s="291"/>
      <c r="G111" s="322"/>
      <c r="H111" s="323"/>
      <c r="I111" s="301"/>
      <c r="J111" s="97"/>
      <c r="K111" s="303"/>
      <c r="L111" s="36"/>
      <c r="M111" s="97"/>
      <c r="N111" s="97"/>
      <c r="R111" s="97"/>
      <c r="S111" s="97" t="s">
        <v>4220</v>
      </c>
      <c r="T111" s="97">
        <v>12936</v>
      </c>
      <c r="U111" s="115">
        <v>6322162</v>
      </c>
      <c r="V111" s="115">
        <f>U111/T111</f>
        <v>488.72619047619048</v>
      </c>
      <c r="W111" s="115">
        <f>V111*1.01</f>
        <v>493.61345238095237</v>
      </c>
      <c r="X111" s="97">
        <f>X96</f>
        <v>1179</v>
      </c>
      <c r="Y111" s="97">
        <f>T111*X111</f>
        <v>15251544</v>
      </c>
    </row>
    <row r="112" spans="1:27" ht="19.5">
      <c r="A112" s="287"/>
      <c r="B112" s="287"/>
      <c r="C112" s="288"/>
      <c r="D112" s="287"/>
      <c r="E112" s="289"/>
      <c r="F112" s="291"/>
      <c r="G112" s="322" t="e">
        <f t="shared" si="28"/>
        <v>#DIV/0!</v>
      </c>
      <c r="H112" s="323" t="e">
        <f t="shared" si="29"/>
        <v>#DIV/0!</v>
      </c>
      <c r="I112" s="301" t="e">
        <f t="shared" si="30"/>
        <v>#DIV/0!</v>
      </c>
      <c r="J112" s="97" t="s">
        <v>25</v>
      </c>
      <c r="K112" s="303" t="e">
        <f>H112/H109</f>
        <v>#DIV/0!</v>
      </c>
      <c r="L112" s="97"/>
      <c r="M112" s="97"/>
      <c r="N112" s="97"/>
      <c r="R112" s="97"/>
      <c r="S112" s="97" t="s">
        <v>5321</v>
      </c>
      <c r="T112" s="97">
        <v>4687</v>
      </c>
      <c r="U112" s="115">
        <v>1911597</v>
      </c>
      <c r="V112" s="115">
        <f>U112/T112</f>
        <v>407.85086409216984</v>
      </c>
      <c r="W112" s="115">
        <f>V112*1.01</f>
        <v>411.92937273309155</v>
      </c>
      <c r="X112" s="97" t="e">
        <f>X98</f>
        <v>#REF!</v>
      </c>
      <c r="Y112" s="97" t="e">
        <f>T112*X112</f>
        <v>#REF!</v>
      </c>
    </row>
    <row r="113" spans="1:25" ht="19.5">
      <c r="A113" s="287"/>
      <c r="B113" s="287"/>
      <c r="C113" s="288"/>
      <c r="D113" s="287" t="s">
        <v>25</v>
      </c>
      <c r="E113" s="289"/>
      <c r="F113" s="291"/>
      <c r="G113" s="322" t="e">
        <f t="shared" si="28"/>
        <v>#VALUE!</v>
      </c>
      <c r="H113" s="323" t="e">
        <f t="shared" si="29"/>
        <v>#DIV/0!</v>
      </c>
      <c r="I113" s="301" t="e">
        <f t="shared" si="30"/>
        <v>#DIV/0!</v>
      </c>
      <c r="J113" s="97"/>
      <c r="K113" s="303" t="e">
        <f t="shared" ref="K113" si="31">H113/H112</f>
        <v>#DIV/0!</v>
      </c>
      <c r="L113" s="308" t="s">
        <v>5471</v>
      </c>
      <c r="M113" s="295"/>
      <c r="N113" s="97"/>
      <c r="R113" s="97" t="s">
        <v>5417</v>
      </c>
      <c r="S113" s="97" t="s">
        <v>4519</v>
      </c>
      <c r="T113" s="97">
        <v>0</v>
      </c>
      <c r="U113" s="115">
        <v>180438</v>
      </c>
      <c r="V113" s="115"/>
      <c r="W113" s="115"/>
      <c r="X113" s="97">
        <f>X99</f>
        <v>1500</v>
      </c>
      <c r="Y113" s="93">
        <f>U113</f>
        <v>180438</v>
      </c>
    </row>
    <row r="114" spans="1:25" ht="18.75">
      <c r="A114" s="289" t="s">
        <v>5477</v>
      </c>
      <c r="B114" s="289" t="s">
        <v>4362</v>
      </c>
      <c r="C114" s="309">
        <f>C118</f>
        <v>22500</v>
      </c>
      <c r="D114" s="289">
        <v>1</v>
      </c>
      <c r="E114" s="289" t="s">
        <v>4220</v>
      </c>
      <c r="F114" s="309">
        <f>C117</f>
        <v>1172</v>
      </c>
      <c r="G114" s="289">
        <f t="shared" ref="G114" si="32">C114*D114*0.99114/(F114*1.0037158)</f>
        <v>18.95741639393815</v>
      </c>
      <c r="H114" s="290">
        <f>C114/F114</f>
        <v>19.197952218430036</v>
      </c>
      <c r="I114" s="290">
        <f>F114/C114</f>
        <v>5.2088888888888886E-2</v>
      </c>
      <c r="J114" s="97"/>
      <c r="K114" s="304">
        <f>H114/H110</f>
        <v>1.0376782874315025</v>
      </c>
      <c r="L114" s="305">
        <f>(1/K114-1.0256)*100</f>
        <v>-6.1910181958962589</v>
      </c>
      <c r="M114" s="97"/>
      <c r="N114" s="97"/>
      <c r="R114" s="97"/>
      <c r="S114" s="97"/>
      <c r="T114" s="97"/>
      <c r="U114" s="115"/>
      <c r="V114" s="115"/>
      <c r="W114" s="115"/>
      <c r="X114" s="97"/>
      <c r="Y114" s="97"/>
    </row>
    <row r="115" spans="1:25" ht="27" customHeight="1">
      <c r="A115" s="289"/>
      <c r="B115" s="94"/>
      <c r="C115" s="94"/>
      <c r="D115" s="94"/>
      <c r="E115" s="94"/>
      <c r="F115" s="94"/>
      <c r="G115" s="94"/>
      <c r="H115" s="94"/>
      <c r="I115" s="94"/>
      <c r="J115" s="94"/>
      <c r="K115" s="94"/>
      <c r="L115" s="94"/>
      <c r="M115" s="94"/>
      <c r="N115" s="94"/>
      <c r="R115" s="97"/>
      <c r="S115" s="97"/>
      <c r="T115" s="97"/>
      <c r="U115" s="115">
        <v>141800000</v>
      </c>
      <c r="V115" s="115"/>
      <c r="W115" s="115"/>
      <c r="X115" s="97"/>
      <c r="Y115" s="93" t="e">
        <f>SUM(Y109:Y113)</f>
        <v>#REF!</v>
      </c>
    </row>
    <row r="116" spans="1:25">
      <c r="A116" s="85"/>
      <c r="B116" s="94"/>
      <c r="C116" s="94"/>
      <c r="D116" s="94" t="s">
        <v>25</v>
      </c>
      <c r="E116" s="94"/>
      <c r="F116" s="94"/>
      <c r="G116" s="94"/>
      <c r="H116" s="94"/>
      <c r="I116" s="94" t="s">
        <v>25</v>
      </c>
      <c r="J116" s="94" t="s">
        <v>25</v>
      </c>
      <c r="K116" s="94"/>
      <c r="L116" s="94"/>
      <c r="M116" s="94"/>
      <c r="N116" s="94"/>
    </row>
    <row r="117" spans="1:25" ht="21">
      <c r="B117" t="s">
        <v>4220</v>
      </c>
      <c r="C117" s="307">
        <v>1172</v>
      </c>
      <c r="D117" t="s">
        <v>25</v>
      </c>
      <c r="E117" s="94"/>
      <c r="F117">
        <v>1168.5</v>
      </c>
      <c r="G117">
        <f>F117/0.99114</f>
        <v>1178.9454567467765</v>
      </c>
      <c r="I117">
        <v>2000</v>
      </c>
      <c r="J117">
        <v>27849</v>
      </c>
      <c r="M117" s="94"/>
      <c r="N117" s="94"/>
    </row>
    <row r="118" spans="1:25" ht="21">
      <c r="B118" t="s">
        <v>4362</v>
      </c>
      <c r="C118" s="306">
        <v>22500</v>
      </c>
      <c r="E118" s="94"/>
      <c r="F118">
        <v>15981.6</v>
      </c>
      <c r="G118" s="94">
        <f t="shared" ref="G118" si="33">F118/1.0037158</f>
        <v>15922.43541448685</v>
      </c>
      <c r="I118" s="94">
        <f>I117*J118/J117</f>
        <v>883.69420805055836</v>
      </c>
      <c r="J118">
        <v>12305</v>
      </c>
      <c r="M118" s="94"/>
      <c r="N118" s="94"/>
      <c r="O118" t="s">
        <v>25</v>
      </c>
      <c r="P118" t="s">
        <v>25</v>
      </c>
      <c r="Q118" t="s">
        <v>25</v>
      </c>
      <c r="R118" t="s">
        <v>25</v>
      </c>
      <c r="W118" t="s">
        <v>5436</v>
      </c>
      <c r="X118" s="112" t="e">
        <f>Y102+Y115-U102-U115</f>
        <v>#REF!</v>
      </c>
    </row>
    <row r="119" spans="1:25">
      <c r="A119" s="94"/>
      <c r="B119" t="s">
        <v>4358</v>
      </c>
      <c r="C119" s="60">
        <v>16220</v>
      </c>
      <c r="F119">
        <v>140665</v>
      </c>
      <c r="G119" s="94">
        <f>F119*0.99114/1.0037158</f>
        <v>138902.5739158435</v>
      </c>
      <c r="H119" s="94"/>
      <c r="I119">
        <f>I117-I118</f>
        <v>1116.3057919494418</v>
      </c>
      <c r="J119">
        <f>J117-J118</f>
        <v>15544</v>
      </c>
      <c r="K119" t="s">
        <v>25</v>
      </c>
      <c r="L119" t="s">
        <v>25</v>
      </c>
      <c r="M119" s="94"/>
      <c r="N119" s="94"/>
      <c r="R119" t="s">
        <v>25</v>
      </c>
    </row>
    <row r="120" spans="1:25">
      <c r="A120" s="94"/>
      <c r="B120" s="94"/>
      <c r="C120" s="94"/>
      <c r="D120" s="94"/>
      <c r="E120" s="94"/>
      <c r="F120" s="94"/>
      <c r="G120" s="94"/>
      <c r="H120" s="94" t="s">
        <v>25</v>
      </c>
      <c r="J120" t="s">
        <v>25</v>
      </c>
      <c r="M120" s="94"/>
      <c r="N120" s="94"/>
      <c r="Q120" t="s">
        <v>25</v>
      </c>
      <c r="R120" s="316" t="s">
        <v>5734</v>
      </c>
    </row>
    <row r="121" spans="1:25">
      <c r="A121" s="94"/>
      <c r="B121" s="94"/>
      <c r="C121" s="94"/>
      <c r="O121" t="s">
        <v>25</v>
      </c>
      <c r="P121" t="s">
        <v>25</v>
      </c>
      <c r="R121" t="s">
        <v>25</v>
      </c>
    </row>
    <row r="122" spans="1:25">
      <c r="A122" s="97" t="s">
        <v>5581</v>
      </c>
      <c r="B122" s="97"/>
      <c r="C122" s="97"/>
      <c r="D122" s="97"/>
      <c r="E122" s="97"/>
      <c r="F122" s="97"/>
      <c r="G122" s="97"/>
      <c r="H122" s="97"/>
      <c r="I122" s="97"/>
      <c r="J122" s="97"/>
      <c r="K122" s="97"/>
      <c r="Q122" t="s">
        <v>25</v>
      </c>
      <c r="R122" t="s">
        <v>25</v>
      </c>
      <c r="S122" t="s">
        <v>25</v>
      </c>
    </row>
    <row r="123" spans="1:25">
      <c r="A123" s="287" t="s">
        <v>5829</v>
      </c>
      <c r="B123" s="287" t="s">
        <v>4362</v>
      </c>
      <c r="C123" s="287">
        <v>21532</v>
      </c>
      <c r="D123" s="287">
        <v>1859</v>
      </c>
      <c r="E123" s="289" t="s">
        <v>4220</v>
      </c>
      <c r="F123" s="289">
        <v>1273.7</v>
      </c>
      <c r="G123" s="289">
        <f>C123*D123*0.99114/(F123*1.0037158)</f>
        <v>31032.792320085835</v>
      </c>
      <c r="H123" s="289">
        <f t="shared" ref="H123" si="34">C123/F123</f>
        <v>16.905079689094762</v>
      </c>
      <c r="I123" s="289">
        <f t="shared" ref="I123" si="35">F123/C123</f>
        <v>5.9153817573843581E-2</v>
      </c>
      <c r="J123" s="97"/>
      <c r="K123" s="97">
        <v>1</v>
      </c>
      <c r="L123" t="s">
        <v>25</v>
      </c>
      <c r="R123" t="s">
        <v>25</v>
      </c>
      <c r="S123" t="s">
        <v>25</v>
      </c>
    </row>
    <row r="124" spans="1:25">
      <c r="A124" s="287" t="s">
        <v>5836</v>
      </c>
      <c r="B124" s="287" t="s">
        <v>4362</v>
      </c>
      <c r="C124" s="287">
        <v>22420.1</v>
      </c>
      <c r="D124" s="287">
        <v>1000</v>
      </c>
      <c r="E124" s="289" t="s">
        <v>4220</v>
      </c>
      <c r="F124" s="289">
        <v>1246</v>
      </c>
      <c r="G124" s="289">
        <f t="shared" ref="G124:G132" si="36">C124*D124*0.99114/(F124*1.0037158)</f>
        <v>17768.212761057777</v>
      </c>
      <c r="H124" s="289">
        <f t="shared" ref="H124:H132" si="37">C124/F124</f>
        <v>17.993659711075441</v>
      </c>
      <c r="I124" s="289">
        <f t="shared" ref="I124:I132" si="38">F124/C124</f>
        <v>5.557513124383924E-2</v>
      </c>
      <c r="J124" s="97"/>
      <c r="K124" s="97">
        <f>H124/H123</f>
        <v>1.0643936640347758</v>
      </c>
      <c r="O124" t="s">
        <v>25</v>
      </c>
      <c r="S124" t="s">
        <v>25</v>
      </c>
    </row>
    <row r="125" spans="1:25">
      <c r="A125" s="287" t="s">
        <v>5839</v>
      </c>
      <c r="B125" s="287" t="s">
        <v>4362</v>
      </c>
      <c r="C125" s="287">
        <v>23233.1</v>
      </c>
      <c r="D125" s="287">
        <v>1000</v>
      </c>
      <c r="E125" s="289" t="s">
        <v>4220</v>
      </c>
      <c r="F125" s="289">
        <v>1236</v>
      </c>
      <c r="G125" s="289">
        <f t="shared" ref="G125:G131" si="39">C125*D125*0.99114/(F125*1.0037158)</f>
        <v>18561.494195015792</v>
      </c>
      <c r="H125" s="289">
        <f t="shared" ref="H125:H131" si="40">C125/F125</f>
        <v>18.797006472491908</v>
      </c>
      <c r="I125" s="289">
        <f t="shared" ref="I125:I131" si="41">F125/C125</f>
        <v>5.3199960401323979E-2</v>
      </c>
      <c r="J125" s="97"/>
      <c r="K125" s="97">
        <f t="shared" ref="K125:K131" si="42">H125/H124</f>
        <v>1.0446461017000335</v>
      </c>
      <c r="S125" t="s">
        <v>25</v>
      </c>
    </row>
    <row r="126" spans="1:25">
      <c r="A126" s="287" t="s">
        <v>5841</v>
      </c>
      <c r="B126" s="287" t="s">
        <v>4362</v>
      </c>
      <c r="C126" s="287">
        <v>23900</v>
      </c>
      <c r="D126" s="287">
        <v>1000</v>
      </c>
      <c r="E126" s="289" t="s">
        <v>4220</v>
      </c>
      <c r="F126" s="289">
        <v>1237.2</v>
      </c>
      <c r="G126" s="289">
        <f t="shared" si="39"/>
        <v>19075.776812419539</v>
      </c>
      <c r="H126" s="289">
        <f t="shared" si="40"/>
        <v>19.317814419657289</v>
      </c>
      <c r="I126" s="289">
        <f t="shared" si="41"/>
        <v>5.1765690376569043E-2</v>
      </c>
      <c r="J126" s="97"/>
      <c r="K126" s="97">
        <f t="shared" si="42"/>
        <v>1.027706962165893</v>
      </c>
      <c r="R126" t="s">
        <v>25</v>
      </c>
      <c r="S126" t="s">
        <v>25</v>
      </c>
    </row>
    <row r="127" spans="1:25">
      <c r="A127" s="287" t="s">
        <v>5859</v>
      </c>
      <c r="B127" s="287" t="s">
        <v>4362</v>
      </c>
      <c r="C127" s="287">
        <v>22500</v>
      </c>
      <c r="D127" s="287">
        <v>2000</v>
      </c>
      <c r="E127" s="289" t="s">
        <v>4220</v>
      </c>
      <c r="F127" s="289">
        <v>1173</v>
      </c>
      <c r="G127" s="289">
        <f t="shared" si="39"/>
        <v>37882.509827272828</v>
      </c>
      <c r="H127" s="289">
        <f t="shared" si="40"/>
        <v>19.181585677749361</v>
      </c>
      <c r="I127" s="289">
        <f t="shared" si="41"/>
        <v>5.213333333333333E-2</v>
      </c>
      <c r="J127" s="97"/>
      <c r="K127" s="97">
        <f t="shared" si="42"/>
        <v>0.99294802512600466</v>
      </c>
      <c r="L127" s="94"/>
      <c r="R127" t="s">
        <v>25</v>
      </c>
    </row>
    <row r="128" spans="1:25">
      <c r="A128" s="287"/>
      <c r="B128" s="287"/>
      <c r="C128" s="287"/>
      <c r="D128" s="287"/>
      <c r="E128" s="289"/>
      <c r="F128" s="289"/>
      <c r="G128" s="289"/>
      <c r="H128" s="289"/>
      <c r="I128" s="289"/>
      <c r="J128" s="97"/>
      <c r="K128" s="97"/>
      <c r="L128" s="94"/>
    </row>
    <row r="129" spans="1:20">
      <c r="A129" s="287"/>
      <c r="B129" s="287"/>
      <c r="C129" s="287"/>
      <c r="D129" s="287"/>
      <c r="E129" s="289"/>
      <c r="F129" s="289"/>
      <c r="G129" s="289"/>
      <c r="H129" s="289"/>
      <c r="I129" s="289"/>
      <c r="J129" s="97"/>
      <c r="K129" s="97"/>
      <c r="L129" s="94"/>
      <c r="S129" t="s">
        <v>25</v>
      </c>
      <c r="T129" t="s">
        <v>25</v>
      </c>
    </row>
    <row r="130" spans="1:20">
      <c r="A130" s="287"/>
      <c r="B130" s="287"/>
      <c r="C130" s="287"/>
      <c r="D130" s="287"/>
      <c r="E130" s="289"/>
      <c r="F130" s="289"/>
      <c r="G130" s="289" t="e">
        <f t="shared" si="39"/>
        <v>#DIV/0!</v>
      </c>
      <c r="H130" s="289" t="e">
        <f t="shared" si="40"/>
        <v>#DIV/0!</v>
      </c>
      <c r="I130" s="289" t="e">
        <f t="shared" si="41"/>
        <v>#DIV/0!</v>
      </c>
      <c r="J130" s="97"/>
      <c r="K130" s="97" t="e">
        <f>H130/H127</f>
        <v>#DIV/0!</v>
      </c>
      <c r="L130" s="94"/>
      <c r="R130" t="s">
        <v>25</v>
      </c>
      <c r="S130" t="s">
        <v>25</v>
      </c>
    </row>
    <row r="131" spans="1:20">
      <c r="A131" s="97"/>
      <c r="B131" s="97"/>
      <c r="C131" s="97"/>
      <c r="D131" s="97"/>
      <c r="E131" s="97"/>
      <c r="F131" s="97"/>
      <c r="G131" s="97" t="e">
        <f t="shared" si="39"/>
        <v>#DIV/0!</v>
      </c>
      <c r="H131" s="97" t="e">
        <f t="shared" si="40"/>
        <v>#DIV/0!</v>
      </c>
      <c r="I131" s="97" t="e">
        <f t="shared" si="41"/>
        <v>#DIV/0!</v>
      </c>
      <c r="J131" s="97"/>
      <c r="K131" s="97" t="e">
        <f t="shared" si="42"/>
        <v>#DIV/0!</v>
      </c>
      <c r="P131" t="s">
        <v>25</v>
      </c>
      <c r="Q131" t="s">
        <v>25</v>
      </c>
    </row>
    <row r="132" spans="1:20">
      <c r="A132" s="97"/>
      <c r="B132" s="97" t="s">
        <v>25</v>
      </c>
      <c r="C132" s="93">
        <f>C118</f>
        <v>22500</v>
      </c>
      <c r="D132" s="97"/>
      <c r="E132" s="97"/>
      <c r="F132" s="93">
        <f>C117</f>
        <v>1172</v>
      </c>
      <c r="G132" s="97">
        <f t="shared" si="36"/>
        <v>0</v>
      </c>
      <c r="H132" s="97">
        <f t="shared" si="37"/>
        <v>19.197952218430036</v>
      </c>
      <c r="I132" s="97">
        <f t="shared" si="38"/>
        <v>5.2088888888888886E-2</v>
      </c>
      <c r="J132" s="97"/>
      <c r="K132" s="97">
        <f>H132/H127</f>
        <v>1.0008532423208192</v>
      </c>
      <c r="L132" s="305">
        <f>(1/K132-1.0256)*100</f>
        <v>-2.6452514919011239</v>
      </c>
      <c r="Q132" t="s">
        <v>25</v>
      </c>
      <c r="R132" t="s">
        <v>25</v>
      </c>
    </row>
    <row r="133" spans="1:20">
      <c r="A133" s="94"/>
      <c r="B133" s="94"/>
      <c r="C133" s="94"/>
      <c r="D133" s="94"/>
      <c r="E133" s="94"/>
      <c r="F133" s="94"/>
      <c r="G133" s="94"/>
      <c r="H133" s="94"/>
      <c r="K133" s="94"/>
    </row>
    <row r="134" spans="1:20">
      <c r="A134" s="94"/>
      <c r="B134" s="94"/>
      <c r="C134" s="94"/>
      <c r="D134" s="94"/>
      <c r="E134" s="94"/>
      <c r="F134" s="94"/>
      <c r="G134" s="94"/>
      <c r="H134" s="94"/>
      <c r="K134" s="94"/>
      <c r="P134" t="s">
        <v>25</v>
      </c>
    </row>
    <row r="135" spans="1:20">
      <c r="A135" s="94"/>
      <c r="B135" s="94">
        <f>H104/13.506</f>
        <v>1.0246994257134612</v>
      </c>
      <c r="C135" s="94"/>
      <c r="D135" s="94"/>
      <c r="E135" s="94"/>
      <c r="F135" s="94"/>
      <c r="G135" s="94"/>
      <c r="H135" s="94" t="s">
        <v>5572</v>
      </c>
      <c r="K135" s="94"/>
    </row>
    <row r="136" spans="1:20">
      <c r="A136" s="94"/>
      <c r="B136" s="94"/>
      <c r="C136" s="94"/>
      <c r="D136" s="94"/>
      <c r="E136" s="94"/>
      <c r="F136" s="94"/>
      <c r="G136" s="94"/>
      <c r="H136" s="94" t="s">
        <v>5573</v>
      </c>
      <c r="L136" t="s">
        <v>25</v>
      </c>
      <c r="P136" t="s">
        <v>25</v>
      </c>
      <c r="Q136" t="s">
        <v>25</v>
      </c>
      <c r="R136" t="s">
        <v>25</v>
      </c>
    </row>
    <row r="137" spans="1:20">
      <c r="A137" s="94"/>
      <c r="B137" s="94"/>
      <c r="C137" s="94"/>
      <c r="D137" s="94"/>
      <c r="E137" s="94"/>
      <c r="F137" s="94"/>
      <c r="G137" s="94"/>
      <c r="H137" s="94" t="s">
        <v>5574</v>
      </c>
      <c r="K137" t="s">
        <v>25</v>
      </c>
    </row>
    <row r="138" spans="1:20">
      <c r="A138" s="94"/>
      <c r="B138" s="94"/>
      <c r="C138" s="94"/>
      <c r="D138" s="94"/>
      <c r="E138" s="94"/>
      <c r="F138" s="94"/>
      <c r="G138" s="94"/>
      <c r="H138" s="94" t="s">
        <v>5575</v>
      </c>
      <c r="J138" t="s">
        <v>25</v>
      </c>
      <c r="K138" t="s">
        <v>25</v>
      </c>
      <c r="P138" t="s">
        <v>25</v>
      </c>
      <c r="Q138" t="s">
        <v>25</v>
      </c>
    </row>
    <row r="139" spans="1:20">
      <c r="A139" s="94"/>
      <c r="B139" s="94"/>
      <c r="C139" s="94"/>
      <c r="D139" s="94"/>
      <c r="E139" s="94"/>
      <c r="F139" s="94"/>
      <c r="G139" s="94"/>
      <c r="H139" s="94" t="s">
        <v>5576</v>
      </c>
      <c r="J139" t="s">
        <v>25</v>
      </c>
    </row>
    <row r="140" spans="1:20">
      <c r="A140" s="94"/>
      <c r="B140" s="94"/>
      <c r="C140" s="94"/>
      <c r="D140" s="94"/>
      <c r="E140" s="94"/>
      <c r="F140" s="94"/>
      <c r="G140" s="94"/>
      <c r="H140" s="94" t="s">
        <v>5577</v>
      </c>
    </row>
    <row r="141" spans="1:20">
      <c r="A141" s="94"/>
      <c r="B141" s="94"/>
      <c r="C141" s="94"/>
      <c r="D141" s="94"/>
      <c r="E141" s="94"/>
      <c r="F141" s="94"/>
      <c r="G141" s="94"/>
      <c r="H141" s="94"/>
      <c r="K141" t="s">
        <v>25</v>
      </c>
      <c r="R141" t="s">
        <v>25</v>
      </c>
    </row>
    <row r="142" spans="1:20">
      <c r="A142" s="94"/>
      <c r="B142" s="94"/>
      <c r="C142" s="94"/>
      <c r="D142" s="94"/>
      <c r="E142" s="94"/>
      <c r="F142" s="94"/>
      <c r="G142" s="94"/>
      <c r="H142" s="94" t="s">
        <v>25</v>
      </c>
    </row>
    <row r="143" spans="1:20">
      <c r="A143" s="94"/>
      <c r="B143" s="94"/>
      <c r="C143" s="94"/>
      <c r="D143" s="94"/>
      <c r="E143" s="94"/>
      <c r="F143" s="94"/>
      <c r="G143" s="94"/>
      <c r="H143" s="94"/>
    </row>
    <row r="144" spans="1:20">
      <c r="A144" s="94"/>
      <c r="B144" s="94"/>
      <c r="C144" s="94"/>
      <c r="D144" s="94"/>
      <c r="E144" s="94"/>
      <c r="F144" s="94"/>
      <c r="G144" s="94"/>
      <c r="H144" s="94"/>
    </row>
    <row r="145" spans="1:17">
      <c r="A145" s="94"/>
      <c r="B145" s="94"/>
      <c r="C145" s="94"/>
      <c r="D145" s="94"/>
      <c r="E145" s="94"/>
      <c r="F145" s="94"/>
    </row>
    <row r="146" spans="1:17">
      <c r="A146" s="94"/>
      <c r="B146" s="94"/>
      <c r="C146" s="94"/>
      <c r="D146" s="94"/>
      <c r="E146" s="94"/>
      <c r="F146" s="94"/>
      <c r="H146" t="s">
        <v>25</v>
      </c>
      <c r="N146" t="s">
        <v>25</v>
      </c>
    </row>
    <row r="147" spans="1:17">
      <c r="A147" s="94"/>
      <c r="B147" s="94"/>
      <c r="C147" s="94"/>
      <c r="D147" s="94"/>
      <c r="E147" s="94"/>
      <c r="F147" s="94"/>
      <c r="I147" t="s">
        <v>25</v>
      </c>
    </row>
    <row r="148" spans="1:17">
      <c r="A148" s="94"/>
      <c r="B148" s="94"/>
      <c r="C148" s="94"/>
      <c r="D148" s="94"/>
      <c r="E148" s="94"/>
      <c r="F148" s="94"/>
    </row>
    <row r="149" spans="1:17">
      <c r="A149" s="94"/>
      <c r="B149" s="94"/>
      <c r="C149" s="94"/>
      <c r="D149" s="94"/>
      <c r="E149" s="94"/>
      <c r="F149" s="94"/>
      <c r="H149" t="s">
        <v>25</v>
      </c>
      <c r="N149" t="s">
        <v>25</v>
      </c>
    </row>
    <row r="150" spans="1:17">
      <c r="A150" s="94"/>
      <c r="B150" s="94"/>
      <c r="C150" s="94"/>
      <c r="D150" s="94"/>
      <c r="E150" s="94"/>
      <c r="F150" s="94"/>
      <c r="H150" t="s">
        <v>25</v>
      </c>
      <c r="M150" t="s">
        <v>25</v>
      </c>
      <c r="P150" t="s">
        <v>25</v>
      </c>
    </row>
    <row r="151" spans="1:17">
      <c r="A151" s="94"/>
      <c r="B151" s="94"/>
      <c r="C151" s="94"/>
      <c r="D151" s="94"/>
      <c r="E151" s="94"/>
      <c r="F151" s="94"/>
    </row>
    <row r="152" spans="1:17">
      <c r="A152" s="94"/>
      <c r="B152" s="94"/>
      <c r="C152" s="94"/>
      <c r="D152" s="94"/>
      <c r="E152" s="94"/>
      <c r="F152" s="94"/>
      <c r="M152" t="s">
        <v>25</v>
      </c>
      <c r="O152" t="s">
        <v>25</v>
      </c>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c r="H173" t="s">
        <v>25</v>
      </c>
    </row>
    <row r="174" spans="1:8">
      <c r="A174" s="94"/>
      <c r="B174" s="94"/>
      <c r="C174" s="94"/>
      <c r="D174" s="94"/>
      <c r="E174" s="94"/>
      <c r="F174" s="94"/>
    </row>
    <row r="175" spans="1:8">
      <c r="A175" s="94"/>
      <c r="B175" s="94"/>
      <c r="C175" s="94"/>
      <c r="D175" s="94"/>
      <c r="E175" s="94"/>
      <c r="F175" s="94"/>
    </row>
    <row r="176" spans="1:8">
      <c r="A176" s="94"/>
      <c r="B176" s="94"/>
      <c r="C176" s="94"/>
      <c r="D176" s="94"/>
      <c r="E176" s="94"/>
      <c r="F176" s="94"/>
      <c r="H176" t="s">
        <v>25</v>
      </c>
    </row>
    <row r="177" spans="1:8">
      <c r="A177" s="94"/>
      <c r="B177" s="94"/>
      <c r="C177" s="94"/>
      <c r="D177" s="94"/>
      <c r="E177" s="94"/>
      <c r="F177" s="94"/>
    </row>
    <row r="178" spans="1:8">
      <c r="A178" s="94"/>
      <c r="B178" s="94"/>
      <c r="C178" s="94"/>
      <c r="D178" s="94"/>
      <c r="E178" s="94"/>
      <c r="F178" s="94"/>
    </row>
    <row r="179" spans="1:8">
      <c r="A179" s="94"/>
      <c r="B179" s="94"/>
      <c r="C179" s="94"/>
      <c r="D179" s="94"/>
      <c r="E179" s="94"/>
      <c r="F179" s="94"/>
    </row>
    <row r="180" spans="1:8">
      <c r="A180" s="94"/>
      <c r="B180" s="94"/>
      <c r="C180" s="94"/>
      <c r="D180" s="94"/>
      <c r="E180" s="94"/>
      <c r="F180" s="94"/>
      <c r="H180" t="s">
        <v>25</v>
      </c>
    </row>
    <row r="181" spans="1:8">
      <c r="A181" s="94"/>
      <c r="B181" s="94"/>
      <c r="C181" s="94"/>
      <c r="D181" s="94"/>
      <c r="E181" s="94"/>
      <c r="F181" s="94"/>
    </row>
    <row r="182" spans="1:8">
      <c r="A182" s="94"/>
      <c r="B182" s="94"/>
      <c r="C182" s="94"/>
      <c r="D182" s="94"/>
      <c r="E182" s="94"/>
      <c r="F182" s="94"/>
    </row>
    <row r="183" spans="1:8">
      <c r="A183" s="94"/>
      <c r="B183" s="94"/>
      <c r="C183" s="94"/>
      <c r="D183" s="94"/>
      <c r="E183" s="94"/>
      <c r="F183" s="94"/>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row>
    <row r="244" spans="1:6">
      <c r="A244" s="94"/>
    </row>
    <row r="245" spans="1:6">
      <c r="A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c r="C277" t="s">
        <v>25</v>
      </c>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2021-01-05T12:12:54Z</dcterms:modified>
</cp:coreProperties>
</file>